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comments15.xml" ContentType="application/vnd.openxmlformats-officedocument.spreadsheetml.comments+xml"/>
  <Override PartName="/xl/threadedComments/threadedComment15.xml" ContentType="application/vnd.ms-excel.threadedcomments+xml"/>
  <Override PartName="/xl/comments16.xml" ContentType="application/vnd.openxmlformats-officedocument.spreadsheetml.comments+xml"/>
  <Override PartName="/xl/threadedComments/threadedComment16.xml" ContentType="application/vnd.ms-excel.threadedcomments+xml"/>
  <Override PartName="/xl/comments17.xml" ContentType="application/vnd.openxmlformats-officedocument.spreadsheetml.comments+xml"/>
  <Override PartName="/xl/threadedComments/threadedComment17.xml" ContentType="application/vnd.ms-excel.threadedcomments+xml"/>
  <Override PartName="/xl/comments18.xml" ContentType="application/vnd.openxmlformats-officedocument.spreadsheetml.comments+xml"/>
  <Override PartName="/xl/threadedComments/threadedComment18.xml" ContentType="application/vnd.ms-excel.threadedcomments+xml"/>
  <Override PartName="/xl/comments19.xml" ContentType="application/vnd.openxmlformats-officedocument.spreadsheetml.comments+xml"/>
  <Override PartName="/xl/threadedComments/threadedComment19.xml" ContentType="application/vnd.ms-excel.threadedcomments+xml"/>
  <Override PartName="/xl/comments20.xml" ContentType="application/vnd.openxmlformats-officedocument.spreadsheetml.comments+xml"/>
  <Override PartName="/xl/threadedComments/threadedComment20.xml" ContentType="application/vnd.ms-excel.threadedcomments+xml"/>
  <Override PartName="/xl/comments21.xml" ContentType="application/vnd.openxmlformats-officedocument.spreadsheetml.comments+xml"/>
  <Override PartName="/xl/threadedComments/threadedComment21.xml" ContentType="application/vnd.ms-excel.threadedcomments+xml"/>
  <Override PartName="/xl/comments22.xml" ContentType="application/vnd.openxmlformats-officedocument.spreadsheetml.comments+xml"/>
  <Override PartName="/xl/threadedComments/threadedComment22.xml" ContentType="application/vnd.ms-excel.threadedcomments+xml"/>
  <Override PartName="/xl/comments23.xml" ContentType="application/vnd.openxmlformats-officedocument.spreadsheetml.comments+xml"/>
  <Override PartName="/xl/threadedComments/threadedComment23.xml" ContentType="application/vnd.ms-excel.threadedcomments+xml"/>
  <Override PartName="/xl/comments24.xml" ContentType="application/vnd.openxmlformats-officedocument.spreadsheetml.comments+xml"/>
  <Override PartName="/xl/threadedComments/threadedComment24.xml" ContentType="application/vnd.ms-excel.threadedcomments+xml"/>
  <Override PartName="/xl/comments25.xml" ContentType="application/vnd.openxmlformats-officedocument.spreadsheetml.comments+xml"/>
  <Override PartName="/xl/threadedComments/threadedComment25.xml" ContentType="application/vnd.ms-excel.threadedcomments+xml"/>
  <Override PartName="/xl/comments26.xml" ContentType="application/vnd.openxmlformats-officedocument.spreadsheetml.comments+xml"/>
  <Override PartName="/xl/threadedComments/threadedComment26.xml" ContentType="application/vnd.ms-excel.threadedcomments+xml"/>
  <Override PartName="/xl/comments27.xml" ContentType="application/vnd.openxmlformats-officedocument.spreadsheetml.comments+xml"/>
  <Override PartName="/xl/threadedComments/threadedComment27.xml" ContentType="application/vnd.ms-excel.threadedcomments+xml"/>
  <Override PartName="/xl/comments28.xml" ContentType="application/vnd.openxmlformats-officedocument.spreadsheetml.comments+xml"/>
  <Override PartName="/xl/threadedComments/threadedComment28.xml" ContentType="application/vnd.ms-excel.threadedcomments+xml"/>
  <Override PartName="/xl/comments29.xml" ContentType="application/vnd.openxmlformats-officedocument.spreadsheetml.comments+xml"/>
  <Override PartName="/xl/threadedComments/threadedComment29.xml" ContentType="application/vnd.ms-excel.threadedcomments+xml"/>
  <Override PartName="/xl/comments30.xml" ContentType="application/vnd.openxmlformats-officedocument.spreadsheetml.comments+xml"/>
  <Override PartName="/xl/threadedComments/threadedComment30.xml" ContentType="application/vnd.ms-excel.threadedcomments+xml"/>
  <Override PartName="/xl/comments31.xml" ContentType="application/vnd.openxmlformats-officedocument.spreadsheetml.comments+xml"/>
  <Override PartName="/xl/threadedComments/threadedComment31.xml" ContentType="application/vnd.ms-excel.threadedcomments+xml"/>
  <Override PartName="/xl/comments32.xml" ContentType="application/vnd.openxmlformats-officedocument.spreadsheetml.comments+xml"/>
  <Override PartName="/xl/threadedComments/threadedComment32.xml" ContentType="application/vnd.ms-excel.threadedcomments+xml"/>
  <Override PartName="/xl/comments33.xml" ContentType="application/vnd.openxmlformats-officedocument.spreadsheetml.comments+xml"/>
  <Override PartName="/xl/threadedComments/threadedComment33.xml" ContentType="application/vnd.ms-excel.threadedcomments+xml"/>
  <Override PartName="/xl/comments34.xml" ContentType="application/vnd.openxmlformats-officedocument.spreadsheetml.comments+xml"/>
  <Override PartName="/xl/threadedComments/threadedComment34.xml" ContentType="application/vnd.ms-excel.threadedcomments+xml"/>
  <Override PartName="/xl/comments35.xml" ContentType="application/vnd.openxmlformats-officedocument.spreadsheetml.comments+xml"/>
  <Override PartName="/xl/threadedComments/threadedComment35.xml" ContentType="application/vnd.ms-excel.threadedcomments+xml"/>
  <Override PartName="/xl/comments36.xml" ContentType="application/vnd.openxmlformats-officedocument.spreadsheetml.comments+xml"/>
  <Override PartName="/xl/threadedComments/threadedComment36.xml" ContentType="application/vnd.ms-excel.threadedcomments+xml"/>
  <Override PartName="/xl/comments37.xml" ContentType="application/vnd.openxmlformats-officedocument.spreadsheetml.comments+xml"/>
  <Override PartName="/xl/threadedComments/threadedComment37.xml" ContentType="application/vnd.ms-excel.threadedcomments+xml"/>
  <Override PartName="/xl/comments38.xml" ContentType="application/vnd.openxmlformats-officedocument.spreadsheetml.comments+xml"/>
  <Override PartName="/xl/threadedComments/threadedComment38.xml" ContentType="application/vnd.ms-excel.threadedcomments+xml"/>
  <Override PartName="/xl/comments39.xml" ContentType="application/vnd.openxmlformats-officedocument.spreadsheetml.comments+xml"/>
  <Override PartName="/xl/threadedComments/threadedComment39.xml" ContentType="application/vnd.ms-excel.threadedcomments+xml"/>
  <Override PartName="/xl/comments40.xml" ContentType="application/vnd.openxmlformats-officedocument.spreadsheetml.comments+xml"/>
  <Override PartName="/xl/threadedComments/threadedComment40.xml" ContentType="application/vnd.ms-excel.threadedcomments+xml"/>
  <Override PartName="/xl/comments41.xml" ContentType="application/vnd.openxmlformats-officedocument.spreadsheetml.comments+xml"/>
  <Override PartName="/xl/threadedComments/threadedComment41.xml" ContentType="application/vnd.ms-excel.threadedcomments+xml"/>
  <Override PartName="/xl/comments42.xml" ContentType="application/vnd.openxmlformats-officedocument.spreadsheetml.comments+xml"/>
  <Override PartName="/xl/threadedComments/threadedComment42.xml" ContentType="application/vnd.ms-excel.threadedcomments+xml"/>
  <Override PartName="/xl/comments43.xml" ContentType="application/vnd.openxmlformats-officedocument.spreadsheetml.comments+xml"/>
  <Override PartName="/xl/threadedComments/threadedComment43.xml" ContentType="application/vnd.ms-excel.threadedcomments+xml"/>
  <Override PartName="/xl/comments44.xml" ContentType="application/vnd.openxmlformats-officedocument.spreadsheetml.comments+xml"/>
  <Override PartName="/xl/threadedComments/threadedComment44.xml" ContentType="application/vnd.ms-excel.threadedcomments+xml"/>
  <Override PartName="/xl/comments45.xml" ContentType="application/vnd.openxmlformats-officedocument.spreadsheetml.comments+xml"/>
  <Override PartName="/xl/threadedComments/threadedComment45.xml" ContentType="application/vnd.ms-excel.threadedcomments+xml"/>
  <Override PartName="/xl/comments46.xml" ContentType="application/vnd.openxmlformats-officedocument.spreadsheetml.comments+xml"/>
  <Override PartName="/xl/threadedComments/threadedComment46.xml" ContentType="application/vnd.ms-excel.threadedcomments+xml"/>
  <Override PartName="/xl/comments47.xml" ContentType="application/vnd.openxmlformats-officedocument.spreadsheetml.comments+xml"/>
  <Override PartName="/xl/threadedComments/threadedComment47.xml" ContentType="application/vnd.ms-excel.threadedcomments+xml"/>
  <Override PartName="/xl/comments48.xml" ContentType="application/vnd.openxmlformats-officedocument.spreadsheetml.comments+xml"/>
  <Override PartName="/xl/threadedComments/threadedComment48.xml" ContentType="application/vnd.ms-excel.threadedcomments+xml"/>
  <Override PartName="/xl/comments49.xml" ContentType="application/vnd.openxmlformats-officedocument.spreadsheetml.comments+xml"/>
  <Override PartName="/xl/threadedComments/threadedComment49.xml" ContentType="application/vnd.ms-excel.threadedcomments+xml"/>
  <Override PartName="/xl/comments50.xml" ContentType="application/vnd.openxmlformats-officedocument.spreadsheetml.comments+xml"/>
  <Override PartName="/xl/threadedComments/threadedComment50.xml" ContentType="application/vnd.ms-excel.threadedcomments+xml"/>
  <Override PartName="/xl/comments51.xml" ContentType="application/vnd.openxmlformats-officedocument.spreadsheetml.comments+xml"/>
  <Override PartName="/xl/threadedComments/threadedComment51.xml" ContentType="application/vnd.ms-excel.threadedcomments+xml"/>
  <Override PartName="/xl/comments52.xml" ContentType="application/vnd.openxmlformats-officedocument.spreadsheetml.comments+xml"/>
  <Override PartName="/xl/threadedComments/threadedComment52.xml" ContentType="application/vnd.ms-excel.threadedcomments+xml"/>
  <Override PartName="/xl/comments53.xml" ContentType="application/vnd.openxmlformats-officedocument.spreadsheetml.comments+xml"/>
  <Override PartName="/xl/threadedComments/threadedComment53.xml" ContentType="application/vnd.ms-excel.threadedcomments+xml"/>
  <Override PartName="/xl/comments54.xml" ContentType="application/vnd.openxmlformats-officedocument.spreadsheetml.comments+xml"/>
  <Override PartName="/xl/threadedComments/threadedComment5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codeName="ThisWorkbook" defaultThemeVersion="202300"/>
  <mc:AlternateContent xmlns:mc="http://schemas.openxmlformats.org/markup-compatibility/2006">
    <mc:Choice Requires="x15">
      <x15ac:absPath xmlns:x15ac="http://schemas.microsoft.com/office/spreadsheetml/2010/11/ac" url="/Users/laureenvanbreen/Documents/Wikirate/Reporting Integrity Index/Analysis/"/>
    </mc:Choice>
  </mc:AlternateContent>
  <xr:revisionPtr revIDLastSave="0" documentId="13_ncr:1_{6D53149B-F5A9-8B44-8A55-E0B4D66DA4F8}" xr6:coauthVersionLast="47" xr6:coauthVersionMax="47" xr10:uidLastSave="{00000000-0000-0000-0000-000000000000}"/>
  <bookViews>
    <workbookView xWindow="140" yWindow="900" windowWidth="25060" windowHeight="16600" activeTab="1" xr2:uid="{AFE57A3F-EC9F-974E-8C77-E3EDA1781997}"/>
  </bookViews>
  <sheets>
    <sheet name="Export 3 Oct" sheetId="1" state="hidden" r:id="rId1"/>
    <sheet name="Total &amp; sector scores" sheetId="2" r:id="rId2"/>
    <sheet name="Sectors" sheetId="55" state="hidden" r:id="rId3"/>
    <sheet name="Metrics" sheetId="4" state="hidden" r:id="rId4"/>
    <sheet name="Total &amp; thematic scores" sheetId="56" r:id="rId5"/>
    <sheet name="Detailed analysis" sheetId="58" r:id="rId6"/>
    <sheet name="50Hertz Transmission" sheetId="3" r:id="rId7"/>
    <sheet name="Airbus Group" sheetId="5" r:id="rId8"/>
    <sheet name="Amprion GmbH" sheetId="6" r:id="rId9"/>
    <sheet name="BASF SE" sheetId="7" r:id="rId10"/>
    <sheet name="Bayer AG" sheetId="8" r:id="rId11"/>
    <sheet name="BMW AG" sheetId="9" r:id="rId12"/>
    <sheet name="Boehringer Ingelheim GmbH" sheetId="10" r:id="rId13"/>
    <sheet name="Continental AG" sheetId="11" r:id="rId14"/>
    <sheet name="Covestro" sheetId="12" r:id="rId15"/>
    <sheet name="D√ºrr Group" sheetId="13" r:id="rId16"/>
    <sheet name="Daimler Truck AG" sheetId="14" r:id="rId17"/>
    <sheet name="Deere &amp; Co" sheetId="15" r:id="rId18"/>
    <sheet name="Diehl Stiftung &amp; Co. KG" sheetId="16" r:id="rId19"/>
    <sheet name="E.ON SE" sheetId="17" r:id="rId20"/>
    <sheet name="EnBW-Energie Baden-Wuerttemberg" sheetId="18" r:id="rId21"/>
    <sheet name="Enercon GmbH" sheetId="19" r:id="rId22"/>
    <sheet name="Evonik" sheetId="20" r:id="rId23"/>
    <sheet name="GEA Group" sheetId="21" r:id="rId24"/>
    <sheet name="Gelsenwasser" sheetId="22" r:id="rId25"/>
    <sheet name="Heckler &amp; Koch AG" sheetId="23" r:id="rId26"/>
    <sheet name="HELLA GMBH &amp; CO. KGAA" sheetId="30" r:id="rId27"/>
    <sheet name="Helm AG" sheetId="24" r:id="rId28"/>
    <sheet name="Henkel AG &amp; Co. KGaA" sheetId="25" r:id="rId29"/>
    <sheet name="Hensoldt AG" sheetId="26" r:id="rId30"/>
    <sheet name="Jenoptik AG" sheetId="27" r:id="rId31"/>
    <sheet name="Jungheinrich AG" sheetId="28" r:id="rId32"/>
    <sheet name="KION Group" sheetId="29" r:id="rId33"/>
    <sheet name="KNDS Group" sheetId="31" r:id="rId34"/>
    <sheet name="Krones AG" sheetId="32" r:id="rId35"/>
    <sheet name="Lanxess" sheetId="33" r:id="rId36"/>
    <sheet name="Leonardo" sheetId="34" r:id="rId37"/>
    <sheet name="Lockheed Martin" sheetId="35" r:id="rId38"/>
    <sheet name="Mahle GmbH" sheetId="36" r:id="rId39"/>
    <sheet name="Mercedes-Benz AG" sheetId="37" r:id="rId40"/>
    <sheet name="Merck KGaA" sheetId="38" r:id="rId41"/>
    <sheet name="Rheinmetall AG" sheetId="39" r:id="rId42"/>
    <sheet name="Robert Bosch GmbH" sheetId="40" r:id="rId43"/>
    <sheet name="RTX Corporation" sheetId="41" r:id="rId44"/>
    <sheet name="RWE Group" sheetId="42" r:id="rId45"/>
    <sheet name="Schaeffler Technologies" sheetId="43" r:id="rId46"/>
    <sheet name="Siemens AG" sheetId="44" r:id="rId47"/>
    <sheet name="Siemens Energy AG" sheetId="45" r:id="rId48"/>
    <sheet name="Stadtwerke Munchen GmbH" sheetId="46" r:id="rId49"/>
    <sheet name="Th√ºga Holding" sheetId="47" r:id="rId50"/>
    <sheet name="ThyssenKrupp Group" sheetId="48" r:id="rId51"/>
    <sheet name="Uniper SE" sheetId="49" r:id="rId52"/>
    <sheet name="Voith" sheetId="50" r:id="rId53"/>
    <sheet name="Volkswagen AG" sheetId="51" r:id="rId54"/>
    <sheet name="Wacker Chemie" sheetId="52" r:id="rId55"/>
    <sheet name="ZF Friedrichshafen" sheetId="53" r:id="rId56"/>
    <sheet name="download" sheetId="54" state="hidden" r:id="rId57"/>
  </sheets>
  <definedNames>
    <definedName name="_xlnm._FilterDatabase" localSheetId="5" hidden="1">'Detailed analysis'!$A$29:$V$79</definedName>
    <definedName name="_xlnm._FilterDatabase" localSheetId="0" hidden="1">'Export 3 Oct'!$A$5:$K$806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58" l="1"/>
  <c r="C9" i="58"/>
  <c r="C10" i="58"/>
  <c r="B30" i="53" l="1"/>
  <c r="B29" i="53"/>
  <c r="B28" i="53"/>
  <c r="B27" i="53"/>
  <c r="B30" i="52"/>
  <c r="B29" i="52"/>
  <c r="B28" i="52"/>
  <c r="B27" i="52"/>
  <c r="B30" i="51"/>
  <c r="B29" i="51"/>
  <c r="B28" i="51"/>
  <c r="B27" i="51"/>
  <c r="B30" i="50"/>
  <c r="B29" i="50"/>
  <c r="B28" i="50"/>
  <c r="B27" i="50"/>
  <c r="B30" i="49"/>
  <c r="B29" i="49"/>
  <c r="B28" i="49"/>
  <c r="B27" i="49"/>
  <c r="B30" i="48"/>
  <c r="B29" i="48"/>
  <c r="B28" i="48"/>
  <c r="B27" i="48"/>
  <c r="B30" i="47"/>
  <c r="B29" i="47"/>
  <c r="B28" i="47"/>
  <c r="B27" i="47"/>
  <c r="B30" i="46"/>
  <c r="B29" i="46"/>
  <c r="B28" i="46"/>
  <c r="B27" i="46"/>
  <c r="B30" i="45"/>
  <c r="B29" i="45"/>
  <c r="B28" i="45"/>
  <c r="B27" i="45"/>
  <c r="B30" i="44"/>
  <c r="B29" i="44"/>
  <c r="B28" i="44"/>
  <c r="B27" i="44"/>
  <c r="B30" i="43"/>
  <c r="B29" i="43"/>
  <c r="B28" i="43"/>
  <c r="B27" i="43"/>
  <c r="B30" i="42"/>
  <c r="B29" i="42"/>
  <c r="B28" i="42"/>
  <c r="B27" i="42"/>
  <c r="B30" i="41"/>
  <c r="B29" i="41"/>
  <c r="B28" i="41"/>
  <c r="B27" i="41"/>
  <c r="B30" i="40"/>
  <c r="B29" i="40"/>
  <c r="B28" i="40"/>
  <c r="B27" i="40"/>
  <c r="B30" i="39"/>
  <c r="B29" i="39"/>
  <c r="B28" i="39"/>
  <c r="B27" i="39"/>
  <c r="B30" i="38"/>
  <c r="B29" i="38"/>
  <c r="B28" i="38"/>
  <c r="B27" i="38"/>
  <c r="B30" i="37"/>
  <c r="B29" i="37"/>
  <c r="B28" i="37"/>
  <c r="B27" i="37"/>
  <c r="B30" i="36"/>
  <c r="B29" i="36"/>
  <c r="B28" i="36"/>
  <c r="B27" i="36"/>
  <c r="B30" i="35"/>
  <c r="B29" i="35"/>
  <c r="B28" i="35"/>
  <c r="B27" i="35"/>
  <c r="B30" i="34"/>
  <c r="B29" i="34"/>
  <c r="B28" i="34"/>
  <c r="B27" i="34"/>
  <c r="B30" i="33"/>
  <c r="B29" i="33"/>
  <c r="B28" i="33"/>
  <c r="B27" i="33"/>
  <c r="B30" i="32"/>
  <c r="B29" i="32"/>
  <c r="B28" i="32"/>
  <c r="B27" i="32"/>
  <c r="B30" i="31"/>
  <c r="B29" i="31"/>
  <c r="B28" i="31"/>
  <c r="B27" i="31"/>
  <c r="B30" i="29"/>
  <c r="B29" i="29"/>
  <c r="B28" i="29"/>
  <c r="B27" i="29"/>
  <c r="B30" i="28"/>
  <c r="B29" i="28"/>
  <c r="B28" i="28"/>
  <c r="B27" i="28"/>
  <c r="B30" i="27"/>
  <c r="B29" i="27"/>
  <c r="B28" i="27"/>
  <c r="B27" i="27"/>
  <c r="B30" i="26"/>
  <c r="B29" i="26"/>
  <c r="B28" i="26"/>
  <c r="B27" i="26"/>
  <c r="B30" i="25"/>
  <c r="B29" i="25"/>
  <c r="B28" i="25"/>
  <c r="B27" i="25"/>
  <c r="B30" i="24"/>
  <c r="B29" i="24"/>
  <c r="B28" i="24"/>
  <c r="B27" i="24"/>
  <c r="B30" i="30"/>
  <c r="B29" i="30"/>
  <c r="B28" i="30"/>
  <c r="B27" i="30"/>
  <c r="B30" i="23"/>
  <c r="B29" i="23"/>
  <c r="B28" i="23"/>
  <c r="B27" i="23"/>
  <c r="B30" i="22"/>
  <c r="B29" i="22"/>
  <c r="B28" i="22"/>
  <c r="B27" i="22"/>
  <c r="B30" i="21"/>
  <c r="B29" i="21"/>
  <c r="B28" i="21"/>
  <c r="B27" i="21"/>
  <c r="B30" i="20"/>
  <c r="B29" i="20"/>
  <c r="B28" i="20"/>
  <c r="B27" i="20"/>
  <c r="B30" i="19"/>
  <c r="B29" i="19"/>
  <c r="B28" i="19"/>
  <c r="B27" i="19"/>
  <c r="B30" i="18"/>
  <c r="B29" i="18"/>
  <c r="B28" i="18"/>
  <c r="B27" i="18"/>
  <c r="B30" i="17"/>
  <c r="B29" i="17"/>
  <c r="B28" i="17"/>
  <c r="B27" i="17"/>
  <c r="B30" i="16"/>
  <c r="B29" i="16"/>
  <c r="B28" i="16"/>
  <c r="B27" i="16"/>
  <c r="B30" i="15"/>
  <c r="B29" i="15"/>
  <c r="B28" i="15"/>
  <c r="B27" i="15"/>
  <c r="B30" i="14"/>
  <c r="B29" i="14"/>
  <c r="B28" i="14"/>
  <c r="B27" i="14"/>
  <c r="B30" i="13"/>
  <c r="B29" i="13"/>
  <c r="B28" i="13"/>
  <c r="B27" i="13"/>
  <c r="B30" i="12"/>
  <c r="B29" i="12"/>
  <c r="B28" i="12"/>
  <c r="B27" i="12"/>
  <c r="B30" i="11"/>
  <c r="B29" i="11"/>
  <c r="B28" i="11"/>
  <c r="B27" i="11"/>
  <c r="B30" i="10"/>
  <c r="B29" i="10"/>
  <c r="B28" i="10"/>
  <c r="B27" i="10"/>
  <c r="B30" i="9"/>
  <c r="B29" i="9"/>
  <c r="B28" i="9"/>
  <c r="B27" i="9"/>
  <c r="B30" i="8"/>
  <c r="B29" i="8"/>
  <c r="B28" i="8"/>
  <c r="B27" i="8"/>
  <c r="B30" i="7"/>
  <c r="B29" i="7"/>
  <c r="B28" i="7"/>
  <c r="B27" i="7"/>
  <c r="B30" i="6"/>
  <c r="B29" i="6"/>
  <c r="B28" i="6"/>
  <c r="B27" i="6"/>
  <c r="B30" i="5"/>
  <c r="B29" i="5"/>
  <c r="B28" i="5"/>
  <c r="B27" i="5"/>
  <c r="B30" i="3"/>
  <c r="B29" i="3"/>
  <c r="B28" i="3"/>
  <c r="B27" i="3"/>
  <c r="C51" i="56"/>
  <c r="B51" i="56"/>
  <c r="C50" i="56"/>
  <c r="B50" i="56"/>
  <c r="C49" i="56"/>
  <c r="B49" i="56"/>
  <c r="C48" i="56"/>
  <c r="B48" i="56"/>
  <c r="C47" i="56"/>
  <c r="B47" i="56"/>
  <c r="C46" i="56"/>
  <c r="B46" i="56"/>
  <c r="C45" i="56"/>
  <c r="B45" i="56"/>
  <c r="C44" i="56"/>
  <c r="B44" i="56"/>
  <c r="C43" i="56"/>
  <c r="B43" i="56"/>
  <c r="C42" i="56"/>
  <c r="B42" i="56"/>
  <c r="C41" i="56"/>
  <c r="B41" i="56"/>
  <c r="C40" i="56"/>
  <c r="B40" i="56"/>
  <c r="C39" i="56"/>
  <c r="B39" i="56"/>
  <c r="C38" i="56"/>
  <c r="B38" i="56"/>
  <c r="B37" i="56"/>
  <c r="B36" i="56"/>
  <c r="C35" i="56"/>
  <c r="B35" i="56"/>
  <c r="C34" i="56"/>
  <c r="B34" i="56"/>
  <c r="C33" i="56"/>
  <c r="B33" i="56"/>
  <c r="C32" i="56"/>
  <c r="B32" i="56"/>
  <c r="C31" i="56"/>
  <c r="B31" i="56"/>
  <c r="C30" i="56"/>
  <c r="B30" i="56"/>
  <c r="C29" i="56"/>
  <c r="B29" i="56"/>
  <c r="C28" i="56"/>
  <c r="B28" i="56"/>
  <c r="C27" i="56"/>
  <c r="B27" i="56"/>
  <c r="C26" i="56"/>
  <c r="B26" i="56"/>
  <c r="B25" i="56"/>
  <c r="C24" i="56"/>
  <c r="B24" i="56"/>
  <c r="C23" i="56"/>
  <c r="B23" i="56"/>
  <c r="C22" i="56"/>
  <c r="B22" i="56"/>
  <c r="C21" i="56"/>
  <c r="B21" i="56"/>
  <c r="C20" i="56"/>
  <c r="B20" i="56"/>
  <c r="C19" i="56"/>
  <c r="B19" i="56"/>
  <c r="C18" i="56"/>
  <c r="B18" i="56"/>
  <c r="C17" i="56"/>
  <c r="B17" i="56"/>
  <c r="C16" i="56"/>
  <c r="B16" i="56"/>
  <c r="C15" i="56"/>
  <c r="B15" i="56"/>
  <c r="C14" i="56"/>
  <c r="B14" i="56"/>
  <c r="C13" i="56"/>
  <c r="B13" i="56"/>
  <c r="C12" i="56"/>
  <c r="B12" i="56"/>
  <c r="C11" i="56"/>
  <c r="B11" i="56"/>
  <c r="C10" i="56"/>
  <c r="B10" i="56"/>
  <c r="C9" i="56"/>
  <c r="B9" i="56"/>
  <c r="C8" i="56"/>
  <c r="B8" i="56"/>
  <c r="C7" i="56"/>
  <c r="B7" i="56"/>
  <c r="C6" i="56"/>
  <c r="B6" i="56"/>
  <c r="C5" i="56"/>
  <c r="B5" i="56"/>
  <c r="C4" i="56"/>
  <c r="B4" i="56"/>
  <c r="C3" i="56"/>
  <c r="B3" i="56"/>
  <c r="B2" i="56"/>
  <c r="B3" i="2"/>
  <c r="B31" i="58" s="1"/>
  <c r="B4" i="2"/>
  <c r="B32" i="58" s="1"/>
  <c r="B5" i="2"/>
  <c r="B33" i="58" s="1"/>
  <c r="B6" i="2"/>
  <c r="B34" i="58" s="1"/>
  <c r="B7" i="2"/>
  <c r="B35" i="58" s="1"/>
  <c r="B8" i="2"/>
  <c r="B36" i="58" s="1"/>
  <c r="B9" i="2"/>
  <c r="B37" i="58" s="1"/>
  <c r="B10" i="2"/>
  <c r="B38" i="58" s="1"/>
  <c r="B11" i="2"/>
  <c r="B39" i="58" s="1"/>
  <c r="B12" i="2"/>
  <c r="B40" i="58" s="1"/>
  <c r="B13" i="2"/>
  <c r="B41" i="58" s="1"/>
  <c r="B14" i="2"/>
  <c r="B42" i="58" s="1"/>
  <c r="B15" i="2"/>
  <c r="B43" i="58" s="1"/>
  <c r="B16" i="2"/>
  <c r="B44" i="58" s="1"/>
  <c r="B17" i="2"/>
  <c r="B45" i="58" s="1"/>
  <c r="B18" i="2"/>
  <c r="B46" i="58" s="1"/>
  <c r="B19" i="2"/>
  <c r="B47" i="58" s="1"/>
  <c r="B20" i="2"/>
  <c r="B48" i="58" s="1"/>
  <c r="B21" i="2"/>
  <c r="B49" i="58" s="1"/>
  <c r="B22" i="2"/>
  <c r="B50" i="58" s="1"/>
  <c r="B23" i="2"/>
  <c r="B51" i="58" s="1"/>
  <c r="B24" i="2"/>
  <c r="B52" i="58" s="1"/>
  <c r="B25" i="2"/>
  <c r="B53" i="58" s="1"/>
  <c r="B26" i="2"/>
  <c r="B54" i="58" s="1"/>
  <c r="B27" i="2"/>
  <c r="B55" i="58" s="1"/>
  <c r="B28" i="2"/>
  <c r="B56" i="58" s="1"/>
  <c r="B29" i="2"/>
  <c r="B57" i="58" s="1"/>
  <c r="B30" i="2"/>
  <c r="B58" i="58" s="1"/>
  <c r="B31" i="2"/>
  <c r="B59" i="58" s="1"/>
  <c r="B32" i="2"/>
  <c r="B60" i="58" s="1"/>
  <c r="B33" i="2"/>
  <c r="B61" i="58" s="1"/>
  <c r="B34" i="2"/>
  <c r="B62" i="58" s="1"/>
  <c r="B35" i="2"/>
  <c r="B63" i="58" s="1"/>
  <c r="B36" i="2"/>
  <c r="B64" i="58" s="1"/>
  <c r="B37" i="2"/>
  <c r="B65" i="58" s="1"/>
  <c r="B38" i="2"/>
  <c r="B66" i="58" s="1"/>
  <c r="B39" i="2"/>
  <c r="B67" i="58" s="1"/>
  <c r="B40" i="2"/>
  <c r="B68" i="58" s="1"/>
  <c r="B41" i="2"/>
  <c r="B69" i="58" s="1"/>
  <c r="B42" i="2"/>
  <c r="B70" i="58" s="1"/>
  <c r="B43" i="2"/>
  <c r="B71" i="58" s="1"/>
  <c r="B44" i="2"/>
  <c r="B72" i="58" s="1"/>
  <c r="B45" i="2"/>
  <c r="B73" i="58" s="1"/>
  <c r="B46" i="2"/>
  <c r="B74" i="58" s="1"/>
  <c r="B47" i="2"/>
  <c r="B75" i="58" s="1"/>
  <c r="B48" i="2"/>
  <c r="B76" i="58" s="1"/>
  <c r="B49" i="2"/>
  <c r="B77" i="58" s="1"/>
  <c r="B50" i="2"/>
  <c r="B78" i="58" s="1"/>
  <c r="B51" i="2"/>
  <c r="B79" i="58" s="1"/>
  <c r="B2" i="2"/>
  <c r="C51" i="2"/>
  <c r="I2" i="2" s="1"/>
  <c r="C50" i="2"/>
  <c r="O10" i="2" s="1"/>
  <c r="C49" i="2"/>
  <c r="I5" i="2" s="1"/>
  <c r="C48" i="2"/>
  <c r="L9" i="2" s="1"/>
  <c r="C47" i="2"/>
  <c r="R6" i="2" s="1"/>
  <c r="C46" i="2"/>
  <c r="L4" i="2" s="1"/>
  <c r="C45" i="2"/>
  <c r="R10" i="2" s="1"/>
  <c r="C44" i="2"/>
  <c r="R5" i="2" s="1"/>
  <c r="C43" i="2"/>
  <c r="R4" i="2" s="1"/>
  <c r="C42" i="2"/>
  <c r="L11" i="2" s="1"/>
  <c r="C41" i="2"/>
  <c r="I6" i="2" s="1"/>
  <c r="C40" i="2"/>
  <c r="R9" i="2" s="1"/>
  <c r="C39" i="2"/>
  <c r="U4" i="2" s="1"/>
  <c r="C38" i="2"/>
  <c r="I7" i="2" s="1"/>
  <c r="C35" i="2"/>
  <c r="I10" i="2" s="1"/>
  <c r="C34" i="2"/>
  <c r="I4" i="2" s="1"/>
  <c r="C33" i="2"/>
  <c r="U11" i="2" s="1"/>
  <c r="C32" i="2"/>
  <c r="U6" i="2" s="1"/>
  <c r="C31" i="2"/>
  <c r="O6" i="2" s="1"/>
  <c r="C30" i="2"/>
  <c r="L3" i="2" s="1"/>
  <c r="C29" i="2"/>
  <c r="U2" i="2" s="1"/>
  <c r="C28" i="2"/>
  <c r="L10" i="2" s="1"/>
  <c r="C27" i="2"/>
  <c r="L2" i="2" s="1"/>
  <c r="C26" i="2"/>
  <c r="U10" i="2" s="1"/>
  <c r="C24" i="2"/>
  <c r="O7" i="2" s="1"/>
  <c r="C23" i="2"/>
  <c r="O2" i="2" s="1"/>
  <c r="C22" i="2"/>
  <c r="I9" i="2" s="1"/>
  <c r="C21" i="2"/>
  <c r="U3" i="2" s="1"/>
  <c r="C20" i="2"/>
  <c r="R7" i="2" s="1"/>
  <c r="C19" i="2"/>
  <c r="L7" i="2" s="1"/>
  <c r="C18" i="2"/>
  <c r="O5" i="2" s="1"/>
  <c r="C17" i="2"/>
  <c r="L6" i="2" s="1"/>
  <c r="C16" i="2"/>
  <c r="R11" i="2" s="1"/>
  <c r="C15" i="2"/>
  <c r="R8" i="2" s="1"/>
  <c r="C14" i="2"/>
  <c r="U5" i="2" s="1"/>
  <c r="C13" i="2"/>
  <c r="L8" i="2" s="1"/>
  <c r="C12" i="2"/>
  <c r="I8" i="2" s="1"/>
  <c r="C11" i="2"/>
  <c r="L5" i="2" s="1"/>
  <c r="C10" i="2"/>
  <c r="O3" i="2" s="1"/>
  <c r="C9" i="2"/>
  <c r="I3" i="2" s="1"/>
  <c r="C8" i="2"/>
  <c r="O4" i="2" s="1"/>
  <c r="C7" i="2"/>
  <c r="I11" i="2" s="1"/>
  <c r="C6" i="2"/>
  <c r="O8" i="2" s="1"/>
  <c r="C5" i="2"/>
  <c r="O11" i="2" s="1"/>
  <c r="C4" i="2"/>
  <c r="R2" i="2" s="1"/>
  <c r="C3" i="2"/>
  <c r="U8" i="2" s="1"/>
  <c r="B2" i="54"/>
  <c r="B2" i="53"/>
  <c r="B2" i="52"/>
  <c r="B2" i="51"/>
  <c r="B2" i="50"/>
  <c r="B2" i="49"/>
  <c r="B2" i="48"/>
  <c r="B2" i="47"/>
  <c r="B2" i="46"/>
  <c r="B2" i="45"/>
  <c r="B2" i="44"/>
  <c r="B2" i="43"/>
  <c r="B2" i="42"/>
  <c r="B2" i="41"/>
  <c r="B2" i="40"/>
  <c r="B2" i="39"/>
  <c r="C37" i="2" s="1"/>
  <c r="U7" i="2" s="1"/>
  <c r="B2" i="38"/>
  <c r="C36" i="2" s="1"/>
  <c r="O9" i="2" s="1"/>
  <c r="B2" i="37"/>
  <c r="B2" i="36"/>
  <c r="B2" i="35"/>
  <c r="B2" i="34"/>
  <c r="B2" i="33"/>
  <c r="B2" i="32"/>
  <c r="B2" i="31"/>
  <c r="B2" i="29"/>
  <c r="B2" i="28"/>
  <c r="B2" i="27"/>
  <c r="B2" i="26"/>
  <c r="C25" i="56" s="1"/>
  <c r="B2" i="25"/>
  <c r="B2" i="24"/>
  <c r="B2" i="30"/>
  <c r="B2" i="23"/>
  <c r="B2" i="22"/>
  <c r="B2" i="21"/>
  <c r="B2" i="20"/>
  <c r="B2" i="19"/>
  <c r="B2" i="18"/>
  <c r="B2" i="17"/>
  <c r="B2" i="16"/>
  <c r="B2" i="15"/>
  <c r="B2" i="14"/>
  <c r="B2" i="13"/>
  <c r="B2" i="12"/>
  <c r="B2" i="11"/>
  <c r="B2" i="10"/>
  <c r="B2" i="9"/>
  <c r="B2" i="8"/>
  <c r="B2" i="7"/>
  <c r="B2" i="6"/>
  <c r="B2" i="5"/>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1" i="53" a="1"/>
  <c r="B1" i="53" s="1"/>
  <c r="B1" i="52" a="1"/>
  <c r="B1" i="52" s="1"/>
  <c r="B1" i="51" a="1"/>
  <c r="B1" i="51" s="1"/>
  <c r="B1" i="50" a="1"/>
  <c r="B1" i="50" s="1"/>
  <c r="B1" i="49" a="1"/>
  <c r="B1" i="49" s="1"/>
  <c r="B1" i="48" a="1"/>
  <c r="B1" i="48" s="1"/>
  <c r="B1" i="47" a="1"/>
  <c r="B1" i="47" s="1"/>
  <c r="B1" i="46" a="1"/>
  <c r="B1" i="46" s="1"/>
  <c r="B1" i="45" a="1"/>
  <c r="B1" i="45" s="1"/>
  <c r="B1" i="44" a="1"/>
  <c r="B1" i="44" s="1"/>
  <c r="B1" i="43" a="1"/>
  <c r="B1" i="43" s="1"/>
  <c r="B1" i="42" a="1"/>
  <c r="B1" i="42" s="1"/>
  <c r="B1" i="41" a="1"/>
  <c r="B1" i="41" s="1"/>
  <c r="B1" i="40" a="1"/>
  <c r="B1" i="40" s="1"/>
  <c r="B1" i="39" a="1"/>
  <c r="B1" i="39" s="1"/>
  <c r="B1" i="38" a="1"/>
  <c r="B1" i="38" s="1"/>
  <c r="B1" i="37" a="1"/>
  <c r="B1" i="37" s="1"/>
  <c r="B1" i="36" a="1"/>
  <c r="B1" i="36" s="1"/>
  <c r="B1" i="35" a="1"/>
  <c r="B1" i="35" s="1"/>
  <c r="B1" i="34" a="1"/>
  <c r="B1" i="34" s="1"/>
  <c r="B1" i="33" a="1"/>
  <c r="B1" i="33" s="1"/>
  <c r="B1" i="32" a="1"/>
  <c r="B1" i="32" s="1"/>
  <c r="B1" i="31" a="1"/>
  <c r="B1" i="31" s="1"/>
  <c r="B1" i="30" a="1"/>
  <c r="B1" i="30" s="1"/>
  <c r="B1" i="29" a="1"/>
  <c r="B1" i="29" s="1"/>
  <c r="B1" i="28" a="1"/>
  <c r="B1" i="28" s="1"/>
  <c r="B1" i="27" a="1"/>
  <c r="B1" i="27" s="1"/>
  <c r="B1" i="26" a="1"/>
  <c r="B1" i="26" s="1"/>
  <c r="B1" i="25" a="1"/>
  <c r="B1" i="25" s="1"/>
  <c r="B1" i="24" a="1"/>
  <c r="B1" i="24" s="1"/>
  <c r="B1" i="23" a="1"/>
  <c r="B1" i="23" s="1"/>
  <c r="B1" i="22" a="1"/>
  <c r="B1" i="22" s="1"/>
  <c r="B1" i="21" a="1"/>
  <c r="B1" i="21" s="1"/>
  <c r="B1" i="20" a="1"/>
  <c r="B1" i="20" s="1"/>
  <c r="B1" i="19" a="1"/>
  <c r="B1" i="19" s="1"/>
  <c r="B1" i="18" a="1"/>
  <c r="B1" i="18" s="1"/>
  <c r="B1" i="17" a="1"/>
  <c r="B1" i="17" s="1"/>
  <c r="B1" i="16" a="1"/>
  <c r="B1" i="16" s="1"/>
  <c r="B1" i="15" a="1"/>
  <c r="B1" i="15" s="1"/>
  <c r="B1" i="14" a="1"/>
  <c r="B1" i="14" s="1"/>
  <c r="B1" i="13" a="1"/>
  <c r="B1" i="13" s="1"/>
  <c r="B1" i="12" a="1"/>
  <c r="B1" i="12" s="1"/>
  <c r="B1" i="11" a="1"/>
  <c r="B1" i="11" s="1"/>
  <c r="B1" i="10" a="1"/>
  <c r="B1" i="10" s="1"/>
  <c r="B1" i="9" a="1"/>
  <c r="B1" i="9" s="1"/>
  <c r="B1" i="8" a="1"/>
  <c r="B1" i="8" s="1"/>
  <c r="B1" i="7" a="1"/>
  <c r="B1" i="7" s="1"/>
  <c r="B1" i="6" a="1"/>
  <c r="B1" i="6" s="1"/>
  <c r="B1" i="5" a="1"/>
  <c r="B1" i="5" s="1"/>
  <c r="B2" i="3"/>
  <c r="C2" i="56" s="1"/>
  <c r="B6" i="1"/>
  <c r="J36" i="56" a="1"/>
  <c r="R26" i="56" a="1"/>
  <c r="J37" i="56" a="1"/>
  <c r="N49" i="56" a="1"/>
  <c r="V15" i="56" a="1"/>
  <c r="J30" i="56" a="1"/>
  <c r="N46" i="56" a="1"/>
  <c r="N21" i="56" a="1"/>
  <c r="N25" i="56" a="1"/>
  <c r="N43" i="56" a="1"/>
  <c r="N32" i="56" a="1"/>
  <c r="V38" i="56" a="1"/>
  <c r="J23" i="56" a="1"/>
  <c r="R9" i="56" a="1"/>
  <c r="R47" i="56" a="1"/>
  <c r="V43" i="56" a="1"/>
  <c r="V37" i="56" a="1"/>
  <c r="N38" i="56" a="1"/>
  <c r="J5" i="56" a="1"/>
  <c r="J16" i="56" a="1"/>
  <c r="N23" i="56" a="1"/>
  <c r="N29" i="56" a="1"/>
  <c r="J29" i="56" a="1"/>
  <c r="V49" i="56" a="1"/>
  <c r="V35" i="56" a="1"/>
  <c r="J8" i="56" a="1"/>
  <c r="R32" i="56" a="1"/>
  <c r="J39" i="56" a="1"/>
  <c r="J44" i="56" a="1"/>
  <c r="J2" i="56" a="1"/>
  <c r="N3" i="56" a="1"/>
  <c r="R37" i="56" a="1"/>
  <c r="R21" i="56" a="1"/>
  <c r="R36" i="56" a="1"/>
  <c r="J19" i="56" a="1"/>
  <c r="N22" i="56" a="1"/>
  <c r="R31" i="56" a="1"/>
  <c r="V22" i="56" a="1"/>
  <c r="N44" i="56" a="1"/>
  <c r="N36" i="56" a="1"/>
  <c r="N14" i="56" a="1"/>
  <c r="N19" i="56" a="1"/>
  <c r="V2" i="56" a="1"/>
  <c r="V42" i="56" a="1"/>
  <c r="V21" i="56" a="1"/>
  <c r="V20" i="56" a="1"/>
  <c r="J48" i="56" a="1"/>
  <c r="J43" i="56" a="1"/>
  <c r="R28" i="56" a="1"/>
  <c r="N24" i="56" a="1"/>
  <c r="J41" i="56" a="1"/>
  <c r="J11" i="56" a="1"/>
  <c r="V33" i="56" a="1"/>
  <c r="V12" i="56" a="1"/>
  <c r="N30" i="56" a="1"/>
  <c r="V48" i="56" a="1"/>
  <c r="N17" i="56" a="1"/>
  <c r="V30" i="56" a="1"/>
  <c r="N4" i="56" a="1"/>
  <c r="R50" i="56" a="1"/>
  <c r="J9" i="56" a="1"/>
  <c r="V39" i="56" a="1"/>
  <c r="N15" i="56" a="1"/>
  <c r="N20" i="56" a="1"/>
  <c r="V24" i="56" a="1"/>
  <c r="J25" i="56" a="1"/>
  <c r="N11" i="56" a="1"/>
  <c r="R23" i="56" a="1"/>
  <c r="R49" i="56" a="1"/>
  <c r="N16" i="56" a="1"/>
  <c r="N26" i="56" a="1"/>
  <c r="V36" i="56" a="1"/>
  <c r="V50" i="56" a="1"/>
  <c r="R17" i="56" a="1"/>
  <c r="N42" i="56" a="1"/>
  <c r="V27" i="56" a="1"/>
  <c r="N48" i="56" a="1"/>
  <c r="R24" i="56" a="1"/>
  <c r="V8" i="56" a="1"/>
  <c r="V17" i="56" a="1"/>
  <c r="N27" i="56" a="1"/>
  <c r="N2" i="56" a="1"/>
  <c r="V46" i="56" a="1"/>
  <c r="R51" i="56" a="1"/>
  <c r="R27" i="56" a="1"/>
  <c r="R42" i="56" a="1"/>
  <c r="V10" i="56" a="1"/>
  <c r="N45" i="56" a="1"/>
  <c r="J45" i="56" a="1"/>
  <c r="J15" i="56" a="1"/>
  <c r="N50" i="56" a="1"/>
  <c r="R13" i="56" a="1"/>
  <c r="V16" i="56" a="1"/>
  <c r="R6" i="56" a="1"/>
  <c r="V18" i="56" a="1"/>
  <c r="V44" i="56" a="1"/>
  <c r="J4" i="56" a="1"/>
  <c r="V25" i="56" a="1"/>
  <c r="N40" i="56" a="1"/>
  <c r="V7" i="56" a="1"/>
  <c r="J46" i="56" a="1"/>
  <c r="J32" i="56" a="1"/>
  <c r="J24" i="56" a="1"/>
  <c r="V23" i="56" a="1"/>
  <c r="J49" i="56" a="1"/>
  <c r="V6" i="56" a="1"/>
  <c r="J6" i="56" a="1"/>
  <c r="N34" i="56" a="1"/>
  <c r="V14" i="56" a="1"/>
  <c r="N28" i="56" a="1"/>
  <c r="R12" i="56" a="1"/>
  <c r="J34" i="56" a="1"/>
  <c r="V19" i="56" a="1"/>
  <c r="R43" i="56" a="1"/>
  <c r="J10" i="56" a="1"/>
  <c r="N12" i="56" a="1"/>
  <c r="R20" i="56" a="1"/>
  <c r="V26" i="56" a="1"/>
  <c r="N35" i="56" a="1"/>
  <c r="V11" i="56" a="1"/>
  <c r="J20" i="56" a="1"/>
  <c r="V40" i="56" a="1"/>
  <c r="J3" i="56" a="1"/>
  <c r="R25" i="56" a="1"/>
  <c r="J21" i="56" a="1"/>
  <c r="R8" i="56" a="1"/>
  <c r="V9" i="56" a="1"/>
  <c r="V5" i="56" a="1"/>
  <c r="N37" i="56" a="1"/>
  <c r="R18" i="56" a="1"/>
  <c r="N31" i="56" a="1"/>
  <c r="N7" i="56" a="1"/>
  <c r="J12" i="56" a="1"/>
  <c r="R5" i="56" a="1"/>
  <c r="R38" i="56" a="1"/>
  <c r="R39" i="56" a="1"/>
  <c r="N51" i="56" a="1"/>
  <c r="R15" i="56" a="1"/>
  <c r="J31" i="56" a="1"/>
  <c r="V29" i="56" a="1"/>
  <c r="N5" i="56" a="1"/>
  <c r="V31" i="56" a="1"/>
  <c r="N39" i="56" a="1"/>
  <c r="R45" i="56" a="1"/>
  <c r="R46" i="56" a="1"/>
  <c r="N13" i="56" a="1"/>
  <c r="J13" i="56" a="1"/>
  <c r="J18" i="56" a="1"/>
  <c r="J35" i="56" a="1"/>
  <c r="R10" i="56" a="1"/>
  <c r="V3" i="56" a="1"/>
  <c r="R16" i="56" a="1"/>
  <c r="R14" i="56" a="1"/>
  <c r="J47" i="56" a="1"/>
  <c r="J27" i="56" a="1"/>
  <c r="V47" i="56" a="1"/>
  <c r="R11" i="56" a="1"/>
  <c r="N33" i="56" a="1"/>
  <c r="N18" i="56" a="1"/>
  <c r="R35" i="56" a="1"/>
  <c r="V34" i="56" a="1"/>
  <c r="R33" i="56" a="1"/>
  <c r="J51" i="56" a="1"/>
  <c r="R29" i="56" a="1"/>
  <c r="J22" i="56" a="1"/>
  <c r="V4" i="56" a="1"/>
  <c r="J14" i="56" a="1"/>
  <c r="N8" i="56" a="1"/>
  <c r="R4" i="56" a="1"/>
  <c r="J50" i="56" a="1"/>
  <c r="J7" i="56" a="1"/>
  <c r="N47" i="56" a="1"/>
  <c r="V45" i="56" a="1"/>
  <c r="N10" i="56" a="1"/>
  <c r="J33" i="56" a="1"/>
  <c r="N9" i="56" a="1"/>
  <c r="V32" i="56" a="1"/>
  <c r="R7" i="56" a="1"/>
  <c r="J28" i="56" a="1"/>
  <c r="R30" i="56" a="1"/>
  <c r="N41" i="56" a="1"/>
  <c r="N6" i="56" a="1"/>
  <c r="R41" i="56" a="1"/>
  <c r="R19" i="56" a="1"/>
  <c r="R2" i="56" a="1"/>
  <c r="J42" i="56" a="1"/>
  <c r="R44" i="56" a="1"/>
  <c r="J40" i="56" a="1"/>
  <c r="R3" i="56" a="1"/>
  <c r="R40" i="56" a="1"/>
  <c r="V28" i="56" a="1"/>
  <c r="R48" i="56" a="1"/>
  <c r="J26" i="56" a="1"/>
  <c r="V13" i="56" a="1"/>
  <c r="R22" i="56" a="1"/>
  <c r="R34" i="56" a="1"/>
  <c r="J38" i="56" a="1"/>
  <c r="J17" i="56" a="1"/>
  <c r="V41" i="56" a="1"/>
  <c r="V51" i="56" a="1"/>
  <c r="C37" i="56" l="1"/>
  <c r="C2" i="2"/>
  <c r="R3" i="2" s="1"/>
  <c r="C25" i="2"/>
  <c r="U9" i="2" s="1"/>
  <c r="D6" i="38"/>
  <c r="C36" i="56"/>
  <c r="M36" i="56"/>
  <c r="U4" i="56"/>
  <c r="I15" i="56"/>
  <c r="Q2" i="56"/>
  <c r="I33" i="56"/>
  <c r="Q4" i="56"/>
  <c r="M13" i="56"/>
  <c r="U50" i="56"/>
  <c r="U11" i="56"/>
  <c r="M41" i="56"/>
  <c r="I35" i="56"/>
  <c r="Q24" i="56"/>
  <c r="M43" i="56"/>
  <c r="U15" i="56"/>
  <c r="Q33" i="56"/>
  <c r="I31" i="56"/>
  <c r="U19" i="56"/>
  <c r="Q50" i="56"/>
  <c r="M4" i="56"/>
  <c r="I5" i="56"/>
  <c r="Q36" i="56"/>
  <c r="U23" i="56"/>
  <c r="M22" i="56"/>
  <c r="I22" i="56"/>
  <c r="U27" i="56"/>
  <c r="I51" i="56"/>
  <c r="Q44" i="56"/>
  <c r="M7" i="56"/>
  <c r="Q9" i="56"/>
  <c r="M9" i="56"/>
  <c r="I39" i="56"/>
  <c r="U31" i="56"/>
  <c r="I30" i="56"/>
  <c r="M44" i="56"/>
  <c r="Q38" i="56"/>
  <c r="U34" i="56"/>
  <c r="I41" i="56"/>
  <c r="U38" i="56"/>
  <c r="M29" i="56"/>
  <c r="Q31" i="56"/>
  <c r="I9" i="56"/>
  <c r="Q14" i="56"/>
  <c r="M48" i="56"/>
  <c r="U42" i="56"/>
  <c r="M50" i="56"/>
  <c r="U46" i="56"/>
  <c r="I28" i="56"/>
  <c r="Q32" i="56"/>
  <c r="U5" i="56"/>
  <c r="I50" i="56"/>
  <c r="Q48" i="56"/>
  <c r="M39" i="56"/>
  <c r="Q11" i="56"/>
  <c r="I34" i="56"/>
  <c r="M14" i="56"/>
  <c r="U8" i="56"/>
  <c r="M42" i="56"/>
  <c r="I17" i="56"/>
  <c r="U12" i="56"/>
  <c r="Q25" i="56"/>
  <c r="Q34" i="56"/>
  <c r="M17" i="56"/>
  <c r="I19" i="56"/>
  <c r="U16" i="56"/>
  <c r="U20" i="56"/>
  <c r="M20" i="56"/>
  <c r="Q5" i="56"/>
  <c r="I6" i="56"/>
  <c r="I23" i="56"/>
  <c r="Q47" i="56"/>
  <c r="U24" i="56"/>
  <c r="M23" i="56"/>
  <c r="U28" i="56"/>
  <c r="Q3" i="56"/>
  <c r="I2" i="56"/>
  <c r="M8" i="56"/>
  <c r="U51" i="56"/>
  <c r="M51" i="56"/>
  <c r="Q37" i="56"/>
  <c r="I13" i="56"/>
  <c r="U35" i="56"/>
  <c r="M10" i="56"/>
  <c r="I12" i="56"/>
  <c r="Q39" i="56"/>
  <c r="I42" i="56"/>
  <c r="U39" i="56"/>
  <c r="M30" i="56"/>
  <c r="Q40" i="56"/>
  <c r="U43" i="56"/>
  <c r="M49" i="56"/>
  <c r="Q42" i="56"/>
  <c r="I27" i="56"/>
  <c r="M34" i="56"/>
  <c r="Q43" i="56"/>
  <c r="U47" i="56"/>
  <c r="I46" i="56"/>
  <c r="M12" i="56"/>
  <c r="I3" i="56"/>
  <c r="Q15" i="56"/>
  <c r="U2" i="56"/>
  <c r="I32" i="56"/>
  <c r="U6" i="56"/>
  <c r="Q49" i="56"/>
  <c r="M2" i="56"/>
  <c r="I10" i="56"/>
  <c r="U9" i="56"/>
  <c r="Q7" i="56"/>
  <c r="M15" i="56"/>
  <c r="I4" i="56"/>
  <c r="U13" i="56"/>
  <c r="M3" i="56"/>
  <c r="Q17" i="56"/>
  <c r="Q18" i="56"/>
  <c r="M18" i="56"/>
  <c r="I20" i="56"/>
  <c r="U17" i="56"/>
  <c r="Q51" i="56"/>
  <c r="U21" i="56"/>
  <c r="M21" i="56"/>
  <c r="I21" i="56"/>
  <c r="Q27" i="56"/>
  <c r="I37" i="56"/>
  <c r="U25" i="56"/>
  <c r="M24" i="56"/>
  <c r="M25" i="56"/>
  <c r="I49" i="56"/>
  <c r="U29" i="56"/>
  <c r="Q12" i="56"/>
  <c r="I24" i="56"/>
  <c r="M27" i="56"/>
  <c r="Q29" i="56"/>
  <c r="U32" i="56"/>
  <c r="U36" i="56"/>
  <c r="I25" i="56"/>
  <c r="Q30" i="56"/>
  <c r="M45" i="56"/>
  <c r="Q41" i="56"/>
  <c r="I43" i="56"/>
  <c r="U40" i="56"/>
  <c r="M47" i="56"/>
  <c r="U44" i="56"/>
  <c r="Q19" i="56"/>
  <c r="I44" i="56"/>
  <c r="M32" i="56"/>
  <c r="M35" i="56"/>
  <c r="U48" i="56"/>
  <c r="Q46" i="56"/>
  <c r="I47" i="56"/>
  <c r="U3" i="56"/>
  <c r="M38" i="56"/>
  <c r="Q16" i="56"/>
  <c r="I14" i="56"/>
  <c r="I48" i="56"/>
  <c r="M40" i="56"/>
  <c r="U7" i="56"/>
  <c r="Q22" i="56"/>
  <c r="I16" i="56"/>
  <c r="Q23" i="56"/>
  <c r="M16" i="56"/>
  <c r="U10" i="56"/>
  <c r="Q26" i="56"/>
  <c r="I18" i="56"/>
  <c r="U14" i="56"/>
  <c r="M37" i="56"/>
  <c r="Q35" i="56"/>
  <c r="M19" i="56"/>
  <c r="I36" i="56"/>
  <c r="U18" i="56"/>
  <c r="U22" i="56"/>
  <c r="M5" i="56"/>
  <c r="I7" i="56"/>
  <c r="Q8" i="56"/>
  <c r="Q28" i="56"/>
  <c r="I11" i="56"/>
  <c r="M6" i="56"/>
  <c r="U26" i="56"/>
  <c r="M26" i="56"/>
  <c r="U30" i="56"/>
  <c r="Q13" i="56"/>
  <c r="I38" i="56"/>
  <c r="I40" i="56"/>
  <c r="M28" i="56"/>
  <c r="Q45" i="56"/>
  <c r="U33" i="56"/>
  <c r="U37" i="56"/>
  <c r="Q6" i="56"/>
  <c r="M46" i="56"/>
  <c r="I8" i="56"/>
  <c r="Q10" i="56"/>
  <c r="I26" i="56"/>
  <c r="U41" i="56"/>
  <c r="M31" i="56"/>
  <c r="M33" i="56"/>
  <c r="U45" i="56"/>
  <c r="Q20" i="56"/>
  <c r="I45" i="56"/>
  <c r="M11" i="56"/>
  <c r="Q21" i="56"/>
  <c r="U49" i="56"/>
  <c r="I29" i="56"/>
  <c r="F2" i="56"/>
  <c r="I12" i="2"/>
  <c r="F4" i="2"/>
  <c r="B30" i="58"/>
  <c r="F3" i="2"/>
  <c r="J47" i="56"/>
  <c r="J44" i="56"/>
  <c r="J43" i="56"/>
  <c r="J25" i="56"/>
  <c r="J24" i="56"/>
  <c r="J49" i="56"/>
  <c r="J37" i="56"/>
  <c r="J21" i="56"/>
  <c r="J20" i="56"/>
  <c r="J4" i="56"/>
  <c r="J10" i="56"/>
  <c r="J32" i="56"/>
  <c r="J46" i="56"/>
  <c r="J27" i="56"/>
  <c r="J42" i="56"/>
  <c r="J12" i="56"/>
  <c r="J13" i="56"/>
  <c r="J2" i="56"/>
  <c r="J23" i="56"/>
  <c r="J6" i="56"/>
  <c r="J19" i="56"/>
  <c r="J17" i="56"/>
  <c r="J34" i="56"/>
  <c r="J50" i="56"/>
  <c r="J28" i="56"/>
  <c r="J9" i="56"/>
  <c r="J41" i="56"/>
  <c r="J30" i="56"/>
  <c r="J39" i="56"/>
  <c r="J51" i="56"/>
  <c r="J22" i="56"/>
  <c r="J5" i="56"/>
  <c r="J31" i="56"/>
  <c r="J35" i="56"/>
  <c r="J33" i="56"/>
  <c r="J15" i="56"/>
  <c r="J29" i="56"/>
  <c r="J45" i="56"/>
  <c r="J26" i="56"/>
  <c r="J8" i="56"/>
  <c r="J40" i="56"/>
  <c r="J38" i="56"/>
  <c r="J11" i="56"/>
  <c r="J7" i="56"/>
  <c r="J36" i="56"/>
  <c r="J18" i="56"/>
  <c r="J16" i="56"/>
  <c r="J48" i="56"/>
  <c r="J14" i="56"/>
  <c r="J3" i="56"/>
  <c r="N35" i="56"/>
  <c r="N32" i="56"/>
  <c r="N47" i="56"/>
  <c r="N45" i="56"/>
  <c r="N27" i="56"/>
  <c r="N25" i="56"/>
  <c r="N24" i="56"/>
  <c r="N21" i="56"/>
  <c r="N18" i="56"/>
  <c r="N3" i="56"/>
  <c r="N15" i="56"/>
  <c r="N2" i="56"/>
  <c r="N34" i="56"/>
  <c r="N49" i="56"/>
  <c r="N30" i="56"/>
  <c r="N10" i="56"/>
  <c r="N51" i="56"/>
  <c r="N8" i="56"/>
  <c r="N23" i="56"/>
  <c r="N20" i="56"/>
  <c r="N17" i="56"/>
  <c r="N42" i="56"/>
  <c r="N14" i="56"/>
  <c r="N39" i="56"/>
  <c r="N50" i="56"/>
  <c r="N48" i="56"/>
  <c r="N29" i="56"/>
  <c r="N44" i="56"/>
  <c r="N9" i="56"/>
  <c r="N7" i="56"/>
  <c r="N22" i="56"/>
  <c r="N4" i="56"/>
  <c r="N43" i="56"/>
  <c r="N41" i="56"/>
  <c r="N13" i="56"/>
  <c r="N36" i="56"/>
  <c r="N11" i="56"/>
  <c r="N33" i="56"/>
  <c r="N31" i="56"/>
  <c r="N46" i="56"/>
  <c r="N28" i="56"/>
  <c r="N26" i="56"/>
  <c r="N6" i="56"/>
  <c r="N5" i="56"/>
  <c r="N19" i="56"/>
  <c r="N37" i="56"/>
  <c r="N16" i="56"/>
  <c r="N40" i="56"/>
  <c r="N38" i="56"/>
  <c r="N12" i="56"/>
  <c r="R15" i="56"/>
  <c r="R17" i="56"/>
  <c r="R48" i="56"/>
  <c r="R46" i="56"/>
  <c r="R19" i="56"/>
  <c r="R41" i="56"/>
  <c r="R30" i="56"/>
  <c r="R29" i="56"/>
  <c r="R12" i="56"/>
  <c r="R27" i="56"/>
  <c r="R51" i="56"/>
  <c r="R18" i="56"/>
  <c r="R49" i="56"/>
  <c r="R42" i="56"/>
  <c r="R25" i="56"/>
  <c r="R32" i="56"/>
  <c r="R14" i="56"/>
  <c r="R31" i="56"/>
  <c r="R38" i="56"/>
  <c r="R9" i="56"/>
  <c r="R44" i="56"/>
  <c r="R36" i="56"/>
  <c r="R50" i="56"/>
  <c r="R33" i="56"/>
  <c r="R24" i="56"/>
  <c r="R4" i="56"/>
  <c r="R2" i="56"/>
  <c r="R7" i="56"/>
  <c r="R43" i="56"/>
  <c r="R40" i="56"/>
  <c r="R39" i="56"/>
  <c r="R37" i="56"/>
  <c r="R3" i="56"/>
  <c r="R47" i="56"/>
  <c r="R5" i="56"/>
  <c r="R34" i="56"/>
  <c r="R11" i="56"/>
  <c r="R21" i="56"/>
  <c r="R20" i="56"/>
  <c r="R10" i="56"/>
  <c r="R6" i="56"/>
  <c r="R45" i="56"/>
  <c r="R13" i="56"/>
  <c r="R28" i="56"/>
  <c r="R8" i="56"/>
  <c r="R35" i="56"/>
  <c r="R26" i="56"/>
  <c r="R23" i="56"/>
  <c r="R22" i="56"/>
  <c r="R16" i="56"/>
  <c r="V2" i="56"/>
  <c r="V48" i="56"/>
  <c r="V44" i="56"/>
  <c r="V40" i="56"/>
  <c r="V36" i="56"/>
  <c r="V32" i="56"/>
  <c r="V29" i="56"/>
  <c r="V25" i="56"/>
  <c r="V21" i="56"/>
  <c r="V17" i="56"/>
  <c r="V13" i="56"/>
  <c r="V9" i="56"/>
  <c r="V6" i="56"/>
  <c r="V47" i="56"/>
  <c r="V43" i="56"/>
  <c r="V39" i="56"/>
  <c r="V35" i="56"/>
  <c r="V51" i="56"/>
  <c r="V28" i="56"/>
  <c r="V24" i="56"/>
  <c r="V20" i="56"/>
  <c r="V16" i="56"/>
  <c r="V12" i="56"/>
  <c r="V8" i="56"/>
  <c r="V5" i="56"/>
  <c r="V46" i="56"/>
  <c r="V42" i="56"/>
  <c r="V38" i="56"/>
  <c r="V34" i="56"/>
  <c r="V31" i="56"/>
  <c r="V27" i="56"/>
  <c r="V23" i="56"/>
  <c r="V19" i="56"/>
  <c r="V15" i="56"/>
  <c r="V11" i="56"/>
  <c r="V50" i="56"/>
  <c r="V4" i="56"/>
  <c r="V49" i="56"/>
  <c r="V45" i="56"/>
  <c r="V41" i="56"/>
  <c r="V37" i="56"/>
  <c r="V33" i="56"/>
  <c r="V30" i="56"/>
  <c r="V26" i="56"/>
  <c r="V22" i="56"/>
  <c r="V18" i="56"/>
  <c r="V14" i="56"/>
  <c r="V10" i="56"/>
  <c r="V7" i="56"/>
  <c r="V3" i="56"/>
  <c r="F6" i="2"/>
  <c r="R12" i="2"/>
  <c r="O12" i="2"/>
  <c r="F2" i="2"/>
  <c r="U12" i="2"/>
  <c r="L12" i="2"/>
  <c r="F7" i="2"/>
  <c r="F5" i="2"/>
  <c r="H15" i="10"/>
  <c r="D5" i="40"/>
  <c r="G6" i="37"/>
  <c r="G12" i="37"/>
  <c r="G13" i="37"/>
  <c r="G9" i="37"/>
  <c r="H8" i="37"/>
  <c r="G8" i="37"/>
  <c r="H13" i="37"/>
  <c r="H9" i="37"/>
  <c r="H11" i="37"/>
  <c r="H7" i="37"/>
  <c r="G11" i="37"/>
  <c r="G7" i="37"/>
  <c r="H10" i="37"/>
  <c r="G10" i="37"/>
  <c r="H6" i="9"/>
  <c r="H21" i="53"/>
  <c r="D19" i="53"/>
  <c r="G15" i="53"/>
  <c r="D10" i="53"/>
  <c r="G7" i="53"/>
  <c r="G21" i="53"/>
  <c r="H18" i="53"/>
  <c r="D15" i="53"/>
  <c r="G12" i="53"/>
  <c r="D7" i="53"/>
  <c r="D21" i="53"/>
  <c r="G18" i="53"/>
  <c r="D12" i="53"/>
  <c r="G9" i="53"/>
  <c r="H20" i="53"/>
  <c r="D18" i="53"/>
  <c r="G14" i="53"/>
  <c r="H11" i="53"/>
  <c r="D9" i="53"/>
  <c r="G6" i="53"/>
  <c r="G20" i="53"/>
  <c r="D14" i="53"/>
  <c r="G11" i="53"/>
  <c r="H8" i="53"/>
  <c r="D6" i="53"/>
  <c r="D20" i="53"/>
  <c r="G16" i="53"/>
  <c r="H13" i="53"/>
  <c r="D11" i="53"/>
  <c r="G8" i="53"/>
  <c r="D16" i="53"/>
  <c r="G13" i="53"/>
  <c r="D8" i="53"/>
  <c r="G5" i="53"/>
  <c r="G19" i="53"/>
  <c r="D13" i="53"/>
  <c r="G10" i="53"/>
  <c r="D5" i="53"/>
  <c r="H21" i="52"/>
  <c r="D19" i="52"/>
  <c r="G15" i="52"/>
  <c r="D10" i="52"/>
  <c r="G7" i="52"/>
  <c r="G21" i="52"/>
  <c r="H18" i="52"/>
  <c r="D15" i="52"/>
  <c r="G12" i="52"/>
  <c r="H9" i="52"/>
  <c r="D7" i="52"/>
  <c r="D18" i="52"/>
  <c r="D14" i="52"/>
  <c r="D13" i="52"/>
  <c r="G10" i="52"/>
  <c r="D5" i="52"/>
  <c r="D21" i="52"/>
  <c r="G18" i="52"/>
  <c r="H14" i="52"/>
  <c r="D12" i="52"/>
  <c r="G9" i="52"/>
  <c r="H20" i="52"/>
  <c r="G14" i="52"/>
  <c r="H11" i="52"/>
  <c r="D9" i="52"/>
  <c r="G6" i="52"/>
  <c r="G11" i="52"/>
  <c r="H8" i="52"/>
  <c r="D6" i="52"/>
  <c r="G20" i="52"/>
  <c r="D20" i="52"/>
  <c r="G16" i="52"/>
  <c r="H13" i="52"/>
  <c r="D11" i="52"/>
  <c r="G8" i="52"/>
  <c r="H5" i="52"/>
  <c r="H19" i="52"/>
  <c r="D16" i="52"/>
  <c r="G13" i="52"/>
  <c r="H10" i="52"/>
  <c r="D8" i="52"/>
  <c r="G5" i="52"/>
  <c r="G19" i="52"/>
  <c r="H21" i="51"/>
  <c r="D19" i="51"/>
  <c r="G15" i="51"/>
  <c r="D10" i="51"/>
  <c r="G7" i="51"/>
  <c r="G21" i="51"/>
  <c r="H18" i="51"/>
  <c r="D15" i="51"/>
  <c r="G12" i="51"/>
  <c r="D7" i="51"/>
  <c r="D21" i="51"/>
  <c r="G18" i="51"/>
  <c r="H14" i="51"/>
  <c r="D12" i="51"/>
  <c r="G9" i="51"/>
  <c r="H20" i="51"/>
  <c r="D18" i="51"/>
  <c r="G14" i="51"/>
  <c r="H11" i="51"/>
  <c r="D9" i="51"/>
  <c r="G6" i="51"/>
  <c r="G20" i="51"/>
  <c r="D14" i="51"/>
  <c r="G11" i="51"/>
  <c r="D6" i="51"/>
  <c r="D20" i="51"/>
  <c r="G16" i="51"/>
  <c r="H13" i="51"/>
  <c r="D11" i="51"/>
  <c r="G8" i="51"/>
  <c r="H19" i="51"/>
  <c r="D16" i="51"/>
  <c r="G13" i="51"/>
  <c r="H10" i="51"/>
  <c r="D8" i="51"/>
  <c r="G5" i="51"/>
  <c r="G19" i="51"/>
  <c r="H15" i="51"/>
  <c r="D13" i="51"/>
  <c r="G10" i="51"/>
  <c r="H7" i="51"/>
  <c r="D5" i="51"/>
  <c r="H21" i="50"/>
  <c r="D19" i="50"/>
  <c r="G15" i="50"/>
  <c r="D10" i="50"/>
  <c r="G7" i="50"/>
  <c r="H11" i="50"/>
  <c r="H13" i="50"/>
  <c r="G13" i="50"/>
  <c r="G21" i="50"/>
  <c r="H18" i="50"/>
  <c r="D15" i="50"/>
  <c r="G12" i="50"/>
  <c r="D7" i="50"/>
  <c r="H20" i="50"/>
  <c r="D9" i="50"/>
  <c r="G6" i="50"/>
  <c r="G20" i="50"/>
  <c r="D14" i="50"/>
  <c r="G11" i="50"/>
  <c r="H8" i="50"/>
  <c r="D6" i="50"/>
  <c r="D11" i="50"/>
  <c r="G5" i="50"/>
  <c r="D21" i="50"/>
  <c r="G18" i="50"/>
  <c r="H14" i="50"/>
  <c r="D12" i="50"/>
  <c r="G9" i="50"/>
  <c r="G14" i="50"/>
  <c r="D20" i="50"/>
  <c r="G8" i="50"/>
  <c r="D16" i="50"/>
  <c r="G19" i="50"/>
  <c r="D13" i="50"/>
  <c r="G10" i="50"/>
  <c r="D5" i="50"/>
  <c r="D18" i="50"/>
  <c r="G16" i="50"/>
  <c r="H19" i="50"/>
  <c r="D8" i="50"/>
  <c r="H21" i="49"/>
  <c r="D19" i="49"/>
  <c r="G15" i="49"/>
  <c r="D10" i="49"/>
  <c r="G7" i="49"/>
  <c r="D18" i="49"/>
  <c r="G11" i="49"/>
  <c r="G21" i="49"/>
  <c r="H18" i="49"/>
  <c r="D15" i="49"/>
  <c r="G12" i="49"/>
  <c r="H9" i="49"/>
  <c r="D7" i="49"/>
  <c r="H20" i="49"/>
  <c r="H11" i="49"/>
  <c r="D9" i="49"/>
  <c r="G6" i="49"/>
  <c r="D14" i="49"/>
  <c r="D6" i="49"/>
  <c r="D21" i="49"/>
  <c r="G18" i="49"/>
  <c r="H14" i="49"/>
  <c r="D12" i="49"/>
  <c r="G9" i="49"/>
  <c r="G14" i="49"/>
  <c r="G20" i="49"/>
  <c r="D20" i="49"/>
  <c r="G16" i="49"/>
  <c r="H13" i="49"/>
  <c r="D11" i="49"/>
  <c r="G8" i="49"/>
  <c r="H5" i="49"/>
  <c r="D16" i="49"/>
  <c r="G13" i="49"/>
  <c r="D8" i="49"/>
  <c r="G5" i="49"/>
  <c r="D13" i="49"/>
  <c r="G10" i="49"/>
  <c r="H7" i="49"/>
  <c r="D5" i="49"/>
  <c r="G19" i="49"/>
  <c r="D19" i="48"/>
  <c r="G15" i="48"/>
  <c r="D10" i="48"/>
  <c r="G7" i="48"/>
  <c r="D18" i="48"/>
  <c r="D14" i="48"/>
  <c r="D20" i="48"/>
  <c r="G8" i="48"/>
  <c r="G13" i="48"/>
  <c r="D8" i="48"/>
  <c r="G21" i="48"/>
  <c r="D15" i="48"/>
  <c r="G12" i="48"/>
  <c r="D7" i="48"/>
  <c r="H20" i="48"/>
  <c r="H11" i="48"/>
  <c r="D9" i="48"/>
  <c r="G6" i="48"/>
  <c r="G20" i="48"/>
  <c r="D6" i="48"/>
  <c r="D21" i="48"/>
  <c r="G18" i="48"/>
  <c r="D12" i="48"/>
  <c r="G9" i="48"/>
  <c r="G14" i="48"/>
  <c r="H13" i="48"/>
  <c r="D11" i="48"/>
  <c r="G19" i="48"/>
  <c r="D13" i="48"/>
  <c r="G10" i="48"/>
  <c r="H7" i="48"/>
  <c r="D5" i="48"/>
  <c r="G11" i="48"/>
  <c r="G16" i="48"/>
  <c r="D16" i="48"/>
  <c r="G5" i="48"/>
  <c r="D19" i="47"/>
  <c r="G15" i="47"/>
  <c r="H12" i="47"/>
  <c r="D10" i="47"/>
  <c r="G7" i="47"/>
  <c r="G21" i="47"/>
  <c r="H18" i="47"/>
  <c r="D15" i="47"/>
  <c r="G12" i="47"/>
  <c r="H9" i="47"/>
  <c r="D7" i="47"/>
  <c r="D21" i="47"/>
  <c r="G18" i="47"/>
  <c r="H14" i="47"/>
  <c r="D12" i="47"/>
  <c r="G9" i="47"/>
  <c r="H6" i="47"/>
  <c r="D18" i="47"/>
  <c r="G14" i="47"/>
  <c r="H11" i="47"/>
  <c r="D9" i="47"/>
  <c r="G6" i="47"/>
  <c r="G20" i="47"/>
  <c r="D14" i="47"/>
  <c r="G11" i="47"/>
  <c r="H8" i="47"/>
  <c r="D6" i="47"/>
  <c r="D20" i="47"/>
  <c r="G16" i="47"/>
  <c r="H13" i="47"/>
  <c r="D11" i="47"/>
  <c r="G8" i="47"/>
  <c r="H19" i="47"/>
  <c r="D16" i="47"/>
  <c r="G13" i="47"/>
  <c r="H10" i="47"/>
  <c r="D8" i="47"/>
  <c r="G5" i="47"/>
  <c r="G19" i="47"/>
  <c r="D13" i="47"/>
  <c r="G10" i="47"/>
  <c r="H7" i="47"/>
  <c r="D5" i="47"/>
  <c r="H21" i="46"/>
  <c r="D19" i="46"/>
  <c r="G15" i="46"/>
  <c r="D10" i="46"/>
  <c r="G7" i="46"/>
  <c r="D18" i="46"/>
  <c r="G20" i="46"/>
  <c r="H8" i="46"/>
  <c r="G21" i="46"/>
  <c r="H18" i="46"/>
  <c r="D15" i="46"/>
  <c r="G12" i="46"/>
  <c r="H9" i="46"/>
  <c r="D7" i="46"/>
  <c r="H20" i="46"/>
  <c r="G11" i="46"/>
  <c r="G16" i="46"/>
  <c r="D21" i="46"/>
  <c r="G18" i="46"/>
  <c r="H14" i="46"/>
  <c r="D12" i="46"/>
  <c r="G9" i="46"/>
  <c r="H6" i="46"/>
  <c r="H13" i="46"/>
  <c r="D20" i="46"/>
  <c r="G8" i="46"/>
  <c r="H19" i="46"/>
  <c r="D16" i="46"/>
  <c r="G13" i="46"/>
  <c r="D8" i="46"/>
  <c r="G5" i="46"/>
  <c r="D14" i="46"/>
  <c r="G19" i="46"/>
  <c r="D13" i="46"/>
  <c r="G10" i="46"/>
  <c r="H7" i="46"/>
  <c r="D5" i="46"/>
  <c r="G14" i="46"/>
  <c r="H11" i="46"/>
  <c r="D9" i="46"/>
  <c r="G6" i="46"/>
  <c r="D6" i="46"/>
  <c r="D11" i="46"/>
  <c r="D19" i="45"/>
  <c r="G15" i="45"/>
  <c r="D10" i="45"/>
  <c r="G7" i="45"/>
  <c r="D11" i="45"/>
  <c r="G21" i="45"/>
  <c r="D15" i="45"/>
  <c r="G12" i="45"/>
  <c r="D7" i="45"/>
  <c r="H20" i="45"/>
  <c r="G14" i="45"/>
  <c r="H11" i="45"/>
  <c r="D9" i="45"/>
  <c r="G6" i="45"/>
  <c r="D14" i="45"/>
  <c r="G11" i="45"/>
  <c r="D6" i="45"/>
  <c r="D21" i="45"/>
  <c r="G18" i="45"/>
  <c r="D12" i="45"/>
  <c r="G9" i="45"/>
  <c r="D18" i="45"/>
  <c r="G16" i="45"/>
  <c r="G20" i="45"/>
  <c r="D20" i="45"/>
  <c r="D16" i="45"/>
  <c r="G13" i="45"/>
  <c r="H10" i="45"/>
  <c r="D8" i="45"/>
  <c r="G19" i="45"/>
  <c r="D13" i="45"/>
  <c r="G10" i="45"/>
  <c r="D5" i="45"/>
  <c r="G8" i="45"/>
  <c r="G5" i="45"/>
  <c r="H21" i="44"/>
  <c r="D19" i="44"/>
  <c r="G15" i="44"/>
  <c r="D10" i="44"/>
  <c r="G7" i="44"/>
  <c r="H20" i="44"/>
  <c r="G14" i="44"/>
  <c r="H11" i="44"/>
  <c r="G6" i="44"/>
  <c r="G20" i="44"/>
  <c r="D14" i="44"/>
  <c r="G11" i="44"/>
  <c r="H8" i="44"/>
  <c r="D6" i="44"/>
  <c r="G16" i="44"/>
  <c r="G8" i="44"/>
  <c r="H5" i="44"/>
  <c r="G21" i="44"/>
  <c r="H18" i="44"/>
  <c r="D15" i="44"/>
  <c r="G12" i="44"/>
  <c r="D7" i="44"/>
  <c r="D9" i="44"/>
  <c r="D21" i="44"/>
  <c r="G18" i="44"/>
  <c r="H14" i="44"/>
  <c r="D12" i="44"/>
  <c r="G9" i="44"/>
  <c r="D18" i="44"/>
  <c r="D11" i="44"/>
  <c r="H13" i="44"/>
  <c r="D20" i="44"/>
  <c r="H19" i="44"/>
  <c r="D16" i="44"/>
  <c r="G13" i="44"/>
  <c r="D8" i="44"/>
  <c r="G5" i="44"/>
  <c r="G19" i="44"/>
  <c r="D13" i="44"/>
  <c r="G10" i="44"/>
  <c r="H7" i="44"/>
  <c r="D5" i="44"/>
  <c r="H21" i="43"/>
  <c r="D19" i="43"/>
  <c r="G15" i="43"/>
  <c r="D10" i="43"/>
  <c r="G7" i="43"/>
  <c r="G21" i="43"/>
  <c r="H18" i="43"/>
  <c r="D15" i="43"/>
  <c r="G12" i="43"/>
  <c r="H9" i="43"/>
  <c r="D7" i="43"/>
  <c r="D21" i="43"/>
  <c r="G18" i="43"/>
  <c r="H14" i="43"/>
  <c r="D12" i="43"/>
  <c r="G9" i="43"/>
  <c r="H20" i="43"/>
  <c r="D18" i="43"/>
  <c r="G14" i="43"/>
  <c r="H11" i="43"/>
  <c r="D9" i="43"/>
  <c r="G6" i="43"/>
  <c r="G11" i="43"/>
  <c r="G20" i="43"/>
  <c r="D14" i="43"/>
  <c r="D6" i="43"/>
  <c r="D20" i="43"/>
  <c r="G16" i="43"/>
  <c r="H13" i="43"/>
  <c r="D11" i="43"/>
  <c r="G8" i="43"/>
  <c r="H5" i="43"/>
  <c r="D16" i="43"/>
  <c r="G13" i="43"/>
  <c r="H10" i="43"/>
  <c r="D8" i="43"/>
  <c r="G5" i="43"/>
  <c r="G19" i="43"/>
  <c r="D13" i="43"/>
  <c r="G10" i="43"/>
  <c r="H7" i="43"/>
  <c r="D5" i="43"/>
  <c r="H21" i="42"/>
  <c r="D19" i="42"/>
  <c r="G15" i="42"/>
  <c r="D10" i="42"/>
  <c r="G7" i="42"/>
  <c r="H11" i="42"/>
  <c r="G21" i="42"/>
  <c r="H18" i="42"/>
  <c r="D15" i="42"/>
  <c r="G12" i="42"/>
  <c r="H9" i="42"/>
  <c r="D7" i="42"/>
  <c r="H20" i="42"/>
  <c r="G6" i="42"/>
  <c r="G11" i="42"/>
  <c r="H8" i="42"/>
  <c r="D21" i="42"/>
  <c r="G18" i="42"/>
  <c r="H14" i="42"/>
  <c r="D12" i="42"/>
  <c r="G9" i="42"/>
  <c r="D9" i="42"/>
  <c r="G16" i="42"/>
  <c r="H13" i="42"/>
  <c r="D11" i="42"/>
  <c r="G8" i="42"/>
  <c r="G13" i="42"/>
  <c r="D18" i="42"/>
  <c r="G20" i="42"/>
  <c r="D20" i="42"/>
  <c r="D16" i="42"/>
  <c r="D8" i="42"/>
  <c r="G5" i="42"/>
  <c r="G19" i="42"/>
  <c r="D13" i="42"/>
  <c r="G10" i="42"/>
  <c r="D5" i="42"/>
  <c r="G14" i="42"/>
  <c r="D14" i="42"/>
  <c r="D6" i="42"/>
  <c r="H21" i="41"/>
  <c r="D19" i="41"/>
  <c r="G15" i="41"/>
  <c r="D10" i="41"/>
  <c r="G7" i="41"/>
  <c r="G14" i="41"/>
  <c r="G21" i="41"/>
  <c r="D15" i="41"/>
  <c r="G12" i="41"/>
  <c r="H9" i="41"/>
  <c r="D7" i="41"/>
  <c r="H11" i="41"/>
  <c r="D9" i="41"/>
  <c r="G6" i="41"/>
  <c r="G20" i="41"/>
  <c r="G11" i="41"/>
  <c r="H8" i="41"/>
  <c r="D6" i="41"/>
  <c r="D21" i="41"/>
  <c r="G18" i="41"/>
  <c r="D12" i="41"/>
  <c r="G9" i="41"/>
  <c r="D18" i="41"/>
  <c r="D20" i="41"/>
  <c r="G16" i="41"/>
  <c r="H13" i="41"/>
  <c r="D11" i="41"/>
  <c r="G8" i="41"/>
  <c r="H5" i="41"/>
  <c r="H19" i="41"/>
  <c r="D16" i="41"/>
  <c r="G13" i="41"/>
  <c r="D8" i="41"/>
  <c r="G5" i="41"/>
  <c r="G19" i="41"/>
  <c r="D13" i="41"/>
  <c r="G10" i="41"/>
  <c r="H7" i="41"/>
  <c r="D5" i="41"/>
  <c r="D14" i="41"/>
  <c r="H21" i="40"/>
  <c r="D19" i="40"/>
  <c r="G15" i="40"/>
  <c r="D10" i="40"/>
  <c r="G7" i="40"/>
  <c r="G21" i="40"/>
  <c r="H18" i="40"/>
  <c r="D15" i="40"/>
  <c r="G12" i="40"/>
  <c r="H9" i="40"/>
  <c r="D7" i="40"/>
  <c r="D21" i="40"/>
  <c r="G18" i="40"/>
  <c r="H14" i="40"/>
  <c r="D12" i="40"/>
  <c r="G9" i="40"/>
  <c r="D18" i="40"/>
  <c r="G14" i="40"/>
  <c r="H11" i="40"/>
  <c r="D9" i="40"/>
  <c r="G6" i="40"/>
  <c r="G11" i="40"/>
  <c r="H8" i="40"/>
  <c r="D6" i="40"/>
  <c r="H20" i="40"/>
  <c r="G20" i="40"/>
  <c r="D14" i="40"/>
  <c r="D20" i="40"/>
  <c r="G16" i="40"/>
  <c r="H13" i="40"/>
  <c r="D11" i="40"/>
  <c r="G8" i="40"/>
  <c r="H5" i="40"/>
  <c r="H19" i="40"/>
  <c r="D16" i="40"/>
  <c r="G13" i="40"/>
  <c r="D8" i="40"/>
  <c r="G5" i="40"/>
  <c r="G19" i="40"/>
  <c r="D13" i="40"/>
  <c r="G10" i="40"/>
  <c r="H21" i="39"/>
  <c r="D19" i="39"/>
  <c r="G15" i="39"/>
  <c r="D10" i="39"/>
  <c r="G7" i="39"/>
  <c r="G21" i="39"/>
  <c r="H18" i="39"/>
  <c r="D15" i="39"/>
  <c r="G12" i="39"/>
  <c r="D7" i="39"/>
  <c r="D18" i="39"/>
  <c r="H11" i="39"/>
  <c r="D9" i="39"/>
  <c r="G6" i="39"/>
  <c r="G8" i="39"/>
  <c r="D21" i="39"/>
  <c r="G18" i="39"/>
  <c r="H14" i="39"/>
  <c r="D12" i="39"/>
  <c r="G9" i="39"/>
  <c r="G14" i="39"/>
  <c r="G16" i="39"/>
  <c r="H20" i="39"/>
  <c r="D11" i="39"/>
  <c r="G20" i="39"/>
  <c r="D14" i="39"/>
  <c r="G11" i="39"/>
  <c r="D6" i="39"/>
  <c r="H13" i="39"/>
  <c r="D16" i="39"/>
  <c r="G13" i="39"/>
  <c r="D8" i="39"/>
  <c r="G5" i="39"/>
  <c r="G19" i="39"/>
  <c r="D13" i="39"/>
  <c r="G10" i="39"/>
  <c r="D5" i="39"/>
  <c r="D20" i="39"/>
  <c r="H21" i="38"/>
  <c r="D19" i="38"/>
  <c r="G15" i="38"/>
  <c r="D10" i="38"/>
  <c r="G7" i="38"/>
  <c r="G11" i="38"/>
  <c r="G16" i="38"/>
  <c r="D8" i="38"/>
  <c r="G21" i="38"/>
  <c r="H18" i="38"/>
  <c r="D15" i="38"/>
  <c r="G12" i="38"/>
  <c r="H9" i="38"/>
  <c r="D7" i="38"/>
  <c r="H20" i="38"/>
  <c r="H11" i="38"/>
  <c r="D9" i="38"/>
  <c r="G6" i="38"/>
  <c r="G20" i="38"/>
  <c r="H8" i="38"/>
  <c r="D21" i="38"/>
  <c r="G18" i="38"/>
  <c r="H14" i="38"/>
  <c r="D12" i="38"/>
  <c r="G9" i="38"/>
  <c r="D18" i="38"/>
  <c r="D20" i="38"/>
  <c r="H13" i="38"/>
  <c r="D11" i="38"/>
  <c r="G8" i="38"/>
  <c r="H5" i="38"/>
  <c r="D16" i="38"/>
  <c r="G5" i="38"/>
  <c r="G19" i="38"/>
  <c r="D13" i="38"/>
  <c r="G10" i="38"/>
  <c r="D5" i="38"/>
  <c r="G14" i="38"/>
  <c r="D14" i="38"/>
  <c r="G13" i="38"/>
  <c r="H21" i="37"/>
  <c r="D19" i="37"/>
  <c r="G15" i="37"/>
  <c r="D10" i="37"/>
  <c r="G21" i="37"/>
  <c r="H18" i="37"/>
  <c r="D15" i="37"/>
  <c r="D7" i="37"/>
  <c r="D18" i="37"/>
  <c r="D21" i="37"/>
  <c r="G18" i="37"/>
  <c r="H14" i="37"/>
  <c r="D12" i="37"/>
  <c r="G14" i="37"/>
  <c r="D9" i="37"/>
  <c r="H20" i="37"/>
  <c r="G20" i="37"/>
  <c r="D14" i="37"/>
  <c r="D6" i="37"/>
  <c r="D20" i="37"/>
  <c r="G16" i="37"/>
  <c r="D11" i="37"/>
  <c r="H5" i="37"/>
  <c r="H19" i="37"/>
  <c r="D16" i="37"/>
  <c r="D8" i="37"/>
  <c r="G5" i="37"/>
  <c r="G19" i="37"/>
  <c r="D13" i="37"/>
  <c r="D5" i="37"/>
  <c r="H21" i="36"/>
  <c r="D19" i="36"/>
  <c r="G15" i="36"/>
  <c r="D10" i="36"/>
  <c r="G7" i="36"/>
  <c r="H13" i="36"/>
  <c r="G13" i="36"/>
  <c r="G21" i="36"/>
  <c r="H18" i="36"/>
  <c r="D15" i="36"/>
  <c r="G12" i="36"/>
  <c r="H9" i="36"/>
  <c r="D7" i="36"/>
  <c r="D21" i="36"/>
  <c r="G18" i="36"/>
  <c r="H14" i="36"/>
  <c r="D12" i="36"/>
  <c r="G9" i="36"/>
  <c r="D20" i="36"/>
  <c r="G8" i="36"/>
  <c r="D16" i="36"/>
  <c r="H20" i="36"/>
  <c r="D18" i="36"/>
  <c r="G14" i="36"/>
  <c r="H11" i="36"/>
  <c r="D9" i="36"/>
  <c r="G6" i="36"/>
  <c r="G20" i="36"/>
  <c r="D14" i="36"/>
  <c r="G11" i="36"/>
  <c r="D6" i="36"/>
  <c r="G16" i="36"/>
  <c r="D8" i="36"/>
  <c r="H19" i="36"/>
  <c r="G5" i="36"/>
  <c r="G19" i="36"/>
  <c r="D13" i="36"/>
  <c r="G10" i="36"/>
  <c r="D5" i="36"/>
  <c r="D11" i="36"/>
  <c r="H21" i="35"/>
  <c r="D19" i="35"/>
  <c r="G15" i="35"/>
  <c r="D10" i="35"/>
  <c r="G7" i="35"/>
  <c r="D14" i="35"/>
  <c r="G21" i="35"/>
  <c r="H18" i="35"/>
  <c r="D15" i="35"/>
  <c r="G12" i="35"/>
  <c r="H9" i="35"/>
  <c r="D7" i="35"/>
  <c r="D21" i="35"/>
  <c r="G18" i="35"/>
  <c r="H14" i="35"/>
  <c r="D12" i="35"/>
  <c r="G9" i="35"/>
  <c r="H6" i="35"/>
  <c r="G11" i="35"/>
  <c r="H20" i="35"/>
  <c r="D18" i="35"/>
  <c r="G14" i="35"/>
  <c r="H11" i="35"/>
  <c r="D9" i="35"/>
  <c r="G6" i="35"/>
  <c r="G20" i="35"/>
  <c r="H8" i="35"/>
  <c r="D6" i="35"/>
  <c r="D20" i="35"/>
  <c r="G16" i="35"/>
  <c r="H13" i="35"/>
  <c r="D11" i="35"/>
  <c r="G8" i="35"/>
  <c r="H19" i="35"/>
  <c r="D16" i="35"/>
  <c r="G13" i="35"/>
  <c r="D8" i="35"/>
  <c r="G5" i="35"/>
  <c r="G19" i="35"/>
  <c r="H15" i="35"/>
  <c r="D13" i="35"/>
  <c r="G10" i="35"/>
  <c r="H7" i="35"/>
  <c r="D5" i="35"/>
  <c r="H16" i="35"/>
  <c r="H21" i="34"/>
  <c r="D19" i="34"/>
  <c r="G15" i="34"/>
  <c r="H12" i="34"/>
  <c r="D10" i="34"/>
  <c r="G7" i="34"/>
  <c r="G14" i="34"/>
  <c r="G21" i="34"/>
  <c r="H18" i="34"/>
  <c r="D15" i="34"/>
  <c r="G12" i="34"/>
  <c r="H9" i="34"/>
  <c r="D7" i="34"/>
  <c r="H20" i="34"/>
  <c r="H11" i="34"/>
  <c r="D9" i="34"/>
  <c r="G6" i="34"/>
  <c r="D21" i="34"/>
  <c r="G18" i="34"/>
  <c r="H14" i="34"/>
  <c r="D12" i="34"/>
  <c r="G9" i="34"/>
  <c r="H6" i="34"/>
  <c r="D18" i="34"/>
  <c r="G20" i="34"/>
  <c r="D14" i="34"/>
  <c r="G11" i="34"/>
  <c r="H8" i="34"/>
  <c r="D6" i="34"/>
  <c r="D20" i="34"/>
  <c r="G16" i="34"/>
  <c r="H13" i="34"/>
  <c r="D11" i="34"/>
  <c r="G8" i="34"/>
  <c r="H19" i="34"/>
  <c r="D16" i="34"/>
  <c r="G13" i="34"/>
  <c r="D8" i="34"/>
  <c r="G5" i="34"/>
  <c r="G19" i="34"/>
  <c r="D13" i="34"/>
  <c r="G10" i="34"/>
  <c r="D5" i="34"/>
  <c r="H21" i="33"/>
  <c r="D19" i="33"/>
  <c r="G15" i="33"/>
  <c r="D10" i="33"/>
  <c r="G7" i="33"/>
  <c r="H20" i="33"/>
  <c r="G14" i="33"/>
  <c r="H11" i="33"/>
  <c r="D9" i="33"/>
  <c r="G21" i="33"/>
  <c r="H18" i="33"/>
  <c r="D15" i="33"/>
  <c r="G12" i="33"/>
  <c r="D7" i="33"/>
  <c r="D20" i="33"/>
  <c r="H13" i="33"/>
  <c r="D11" i="33"/>
  <c r="G8" i="33"/>
  <c r="D16" i="33"/>
  <c r="D8" i="33"/>
  <c r="G5" i="33"/>
  <c r="D13" i="33"/>
  <c r="D21" i="33"/>
  <c r="G18" i="33"/>
  <c r="H14" i="33"/>
  <c r="D12" i="33"/>
  <c r="G9" i="33"/>
  <c r="D18" i="33"/>
  <c r="G6" i="33"/>
  <c r="G13" i="33"/>
  <c r="D5" i="33"/>
  <c r="G20" i="33"/>
  <c r="D14" i="33"/>
  <c r="G11" i="33"/>
  <c r="H8" i="33"/>
  <c r="D6" i="33"/>
  <c r="G16" i="33"/>
  <c r="G19" i="33"/>
  <c r="G10" i="33"/>
  <c r="H19" i="33"/>
  <c r="H21" i="32"/>
  <c r="D19" i="32"/>
  <c r="G15" i="32"/>
  <c r="H12" i="32"/>
  <c r="D10" i="32"/>
  <c r="G7" i="32"/>
  <c r="G21" i="32"/>
  <c r="H18" i="32"/>
  <c r="D15" i="32"/>
  <c r="G12" i="32"/>
  <c r="H9" i="32"/>
  <c r="D7" i="32"/>
  <c r="D21" i="32"/>
  <c r="G18" i="32"/>
  <c r="H14" i="32"/>
  <c r="D12" i="32"/>
  <c r="G9" i="32"/>
  <c r="H6" i="32"/>
  <c r="H20" i="32"/>
  <c r="D18" i="32"/>
  <c r="G14" i="32"/>
  <c r="H11" i="32"/>
  <c r="D9" i="32"/>
  <c r="G6" i="32"/>
  <c r="G20" i="32"/>
  <c r="D14" i="32"/>
  <c r="G11" i="32"/>
  <c r="H8" i="32"/>
  <c r="D6" i="32"/>
  <c r="D20" i="32"/>
  <c r="G16" i="32"/>
  <c r="H13" i="32"/>
  <c r="D11" i="32"/>
  <c r="G8" i="32"/>
  <c r="H5" i="32"/>
  <c r="H19" i="32"/>
  <c r="D16" i="32"/>
  <c r="G13" i="32"/>
  <c r="H10" i="32"/>
  <c r="D8" i="32"/>
  <c r="G5" i="32"/>
  <c r="G19" i="32"/>
  <c r="D13" i="32"/>
  <c r="G10" i="32"/>
  <c r="D5" i="32"/>
  <c r="D19" i="31"/>
  <c r="G15" i="31"/>
  <c r="D10" i="31"/>
  <c r="G7" i="31"/>
  <c r="G14" i="31"/>
  <c r="D11" i="31"/>
  <c r="G21" i="31"/>
  <c r="D15" i="31"/>
  <c r="G12" i="31"/>
  <c r="D7" i="31"/>
  <c r="D9" i="31"/>
  <c r="G20" i="31"/>
  <c r="D14" i="31"/>
  <c r="D6" i="31"/>
  <c r="G16" i="31"/>
  <c r="G5" i="31"/>
  <c r="D21" i="31"/>
  <c r="G18" i="31"/>
  <c r="D12" i="31"/>
  <c r="G9" i="31"/>
  <c r="G6" i="31"/>
  <c r="G11" i="31"/>
  <c r="D16" i="31"/>
  <c r="G19" i="31"/>
  <c r="D13" i="31"/>
  <c r="G10" i="31"/>
  <c r="D5" i="31"/>
  <c r="D18" i="31"/>
  <c r="D20" i="31"/>
  <c r="G8" i="31"/>
  <c r="G13" i="31"/>
  <c r="D8" i="31"/>
  <c r="H21" i="30"/>
  <c r="D19" i="30"/>
  <c r="G15" i="30"/>
  <c r="D10" i="30"/>
  <c r="G7" i="30"/>
  <c r="D18" i="30"/>
  <c r="D14" i="30"/>
  <c r="G16" i="30"/>
  <c r="H19" i="30"/>
  <c r="G5" i="30"/>
  <c r="G21" i="30"/>
  <c r="H18" i="30"/>
  <c r="D15" i="30"/>
  <c r="G12" i="30"/>
  <c r="H9" i="30"/>
  <c r="D7" i="30"/>
  <c r="H11" i="30"/>
  <c r="G20" i="30"/>
  <c r="D21" i="30"/>
  <c r="G18" i="30"/>
  <c r="H14" i="30"/>
  <c r="D12" i="30"/>
  <c r="G9" i="30"/>
  <c r="H20" i="30"/>
  <c r="D9" i="30"/>
  <c r="G6" i="30"/>
  <c r="G11" i="30"/>
  <c r="H10" i="30"/>
  <c r="D20" i="30"/>
  <c r="D11" i="30"/>
  <c r="G8" i="30"/>
  <c r="G13" i="30"/>
  <c r="G19" i="30"/>
  <c r="D13" i="30"/>
  <c r="G10" i="30"/>
  <c r="H7" i="30"/>
  <c r="D5" i="30"/>
  <c r="G14" i="30"/>
  <c r="D6" i="30"/>
  <c r="H13" i="30"/>
  <c r="D16" i="30"/>
  <c r="D8" i="30"/>
  <c r="H21" i="29"/>
  <c r="D19" i="29"/>
  <c r="G15" i="29"/>
  <c r="D10" i="29"/>
  <c r="G7" i="29"/>
  <c r="D18" i="29"/>
  <c r="G11" i="29"/>
  <c r="G16" i="29"/>
  <c r="H10" i="29"/>
  <c r="G21" i="29"/>
  <c r="H18" i="29"/>
  <c r="D15" i="29"/>
  <c r="G12" i="29"/>
  <c r="H9" i="29"/>
  <c r="D7" i="29"/>
  <c r="G14" i="29"/>
  <c r="D9" i="29"/>
  <c r="G6" i="29"/>
  <c r="G20" i="29"/>
  <c r="H8" i="29"/>
  <c r="D6" i="29"/>
  <c r="D11" i="29"/>
  <c r="D16" i="29"/>
  <c r="D21" i="29"/>
  <c r="G18" i="29"/>
  <c r="H14" i="29"/>
  <c r="D12" i="29"/>
  <c r="G9" i="29"/>
  <c r="H6" i="29"/>
  <c r="H20" i="29"/>
  <c r="H13" i="29"/>
  <c r="G13" i="29"/>
  <c r="G19" i="29"/>
  <c r="D13" i="29"/>
  <c r="G10" i="29"/>
  <c r="H7" i="29"/>
  <c r="D5" i="29"/>
  <c r="H11" i="29"/>
  <c r="D14" i="29"/>
  <c r="D20" i="29"/>
  <c r="G8" i="29"/>
  <c r="D8" i="29"/>
  <c r="G5" i="29"/>
  <c r="H21" i="28"/>
  <c r="D19" i="28"/>
  <c r="G15" i="28"/>
  <c r="H12" i="28"/>
  <c r="D10" i="28"/>
  <c r="G7" i="28"/>
  <c r="D9" i="28"/>
  <c r="G11" i="28"/>
  <c r="H13" i="28"/>
  <c r="G21" i="28"/>
  <c r="H18" i="28"/>
  <c r="D15" i="28"/>
  <c r="G12" i="28"/>
  <c r="H9" i="28"/>
  <c r="D7" i="28"/>
  <c r="H20" i="28"/>
  <c r="G16" i="28"/>
  <c r="G8" i="28"/>
  <c r="H5" i="28"/>
  <c r="D21" i="28"/>
  <c r="G18" i="28"/>
  <c r="H14" i="28"/>
  <c r="D12" i="28"/>
  <c r="G9" i="28"/>
  <c r="H6" i="28"/>
  <c r="D18" i="28"/>
  <c r="H11" i="28"/>
  <c r="G20" i="28"/>
  <c r="D20" i="28"/>
  <c r="H19" i="28"/>
  <c r="D16" i="28"/>
  <c r="G13" i="28"/>
  <c r="H10" i="28"/>
  <c r="D8" i="28"/>
  <c r="G5" i="28"/>
  <c r="G19" i="28"/>
  <c r="D13" i="28"/>
  <c r="G10" i="28"/>
  <c r="H7" i="28"/>
  <c r="D5" i="28"/>
  <c r="G14" i="28"/>
  <c r="G6" i="28"/>
  <c r="D14" i="28"/>
  <c r="D6" i="28"/>
  <c r="D11" i="28"/>
  <c r="H21" i="27"/>
  <c r="D19" i="27"/>
  <c r="G15" i="27"/>
  <c r="D10" i="27"/>
  <c r="G7" i="27"/>
  <c r="G14" i="27"/>
  <c r="G6" i="27"/>
  <c r="G21" i="27"/>
  <c r="H18" i="27"/>
  <c r="D15" i="27"/>
  <c r="G12" i="27"/>
  <c r="H9" i="27"/>
  <c r="D7" i="27"/>
  <c r="H20" i="27"/>
  <c r="D9" i="27"/>
  <c r="D14" i="27"/>
  <c r="D21" i="27"/>
  <c r="G18" i="27"/>
  <c r="H14" i="27"/>
  <c r="D12" i="27"/>
  <c r="G9" i="27"/>
  <c r="H11" i="27"/>
  <c r="G11" i="27"/>
  <c r="D6" i="27"/>
  <c r="D18" i="27"/>
  <c r="G20" i="27"/>
  <c r="D20" i="27"/>
  <c r="G16" i="27"/>
  <c r="H13" i="27"/>
  <c r="D11" i="27"/>
  <c r="G8" i="27"/>
  <c r="H19" i="27"/>
  <c r="D16" i="27"/>
  <c r="G13" i="27"/>
  <c r="D8" i="27"/>
  <c r="G5" i="27"/>
  <c r="D5" i="27"/>
  <c r="G19" i="27"/>
  <c r="D13" i="27"/>
  <c r="G10" i="27"/>
  <c r="H21" i="26"/>
  <c r="D19" i="26"/>
  <c r="G15" i="26"/>
  <c r="D10" i="26"/>
  <c r="G7" i="26"/>
  <c r="D18" i="26"/>
  <c r="G20" i="26"/>
  <c r="G11" i="26"/>
  <c r="G21" i="26"/>
  <c r="H18" i="26"/>
  <c r="D15" i="26"/>
  <c r="G12" i="26"/>
  <c r="D7" i="26"/>
  <c r="H20" i="26"/>
  <c r="D9" i="26"/>
  <c r="G6" i="26"/>
  <c r="D21" i="26"/>
  <c r="G18" i="26"/>
  <c r="H14" i="26"/>
  <c r="D12" i="26"/>
  <c r="G9" i="26"/>
  <c r="G14" i="26"/>
  <c r="D14" i="26"/>
  <c r="D6" i="26"/>
  <c r="H11" i="26"/>
  <c r="D20" i="26"/>
  <c r="G16" i="26"/>
  <c r="H13" i="26"/>
  <c r="D11" i="26"/>
  <c r="G8" i="26"/>
  <c r="H5" i="26"/>
  <c r="D16" i="26"/>
  <c r="G13" i="26"/>
  <c r="H10" i="26"/>
  <c r="D8" i="26"/>
  <c r="G5" i="26"/>
  <c r="H19" i="26"/>
  <c r="G19" i="26"/>
  <c r="D13" i="26"/>
  <c r="G10" i="26"/>
  <c r="H7" i="26"/>
  <c r="D5" i="26"/>
  <c r="H21" i="25"/>
  <c r="D19" i="25"/>
  <c r="G15" i="25"/>
  <c r="D10" i="25"/>
  <c r="G7" i="25"/>
  <c r="D18" i="25"/>
  <c r="H11" i="25"/>
  <c r="G6" i="25"/>
  <c r="G5" i="25"/>
  <c r="G21" i="25"/>
  <c r="H18" i="25"/>
  <c r="D15" i="25"/>
  <c r="G12" i="25"/>
  <c r="H9" i="25"/>
  <c r="D7" i="25"/>
  <c r="D21" i="25"/>
  <c r="G18" i="25"/>
  <c r="H14" i="25"/>
  <c r="D12" i="25"/>
  <c r="G9" i="25"/>
  <c r="H6" i="25"/>
  <c r="H20" i="25"/>
  <c r="G14" i="25"/>
  <c r="D9" i="25"/>
  <c r="D16" i="25"/>
  <c r="G13" i="25"/>
  <c r="G20" i="25"/>
  <c r="D14" i="25"/>
  <c r="G11" i="25"/>
  <c r="H8" i="25"/>
  <c r="D6" i="25"/>
  <c r="D20" i="25"/>
  <c r="G16" i="25"/>
  <c r="H13" i="25"/>
  <c r="D11" i="25"/>
  <c r="G8" i="25"/>
  <c r="H5" i="25"/>
  <c r="D8" i="25"/>
  <c r="H19" i="25"/>
  <c r="G19" i="25"/>
  <c r="D13" i="25"/>
  <c r="G10" i="25"/>
  <c r="H7" i="25"/>
  <c r="D5" i="25"/>
  <c r="H21" i="24"/>
  <c r="D19" i="24"/>
  <c r="G15" i="24"/>
  <c r="H12" i="24"/>
  <c r="D10" i="24"/>
  <c r="G7" i="24"/>
  <c r="G14" i="24"/>
  <c r="G8" i="24"/>
  <c r="G21" i="24"/>
  <c r="H18" i="24"/>
  <c r="D15" i="24"/>
  <c r="G12" i="24"/>
  <c r="D7" i="24"/>
  <c r="G18" i="24"/>
  <c r="D12" i="24"/>
  <c r="G9" i="24"/>
  <c r="D9" i="24"/>
  <c r="G6" i="24"/>
  <c r="G20" i="24"/>
  <c r="D14" i="24"/>
  <c r="G11" i="24"/>
  <c r="D6" i="24"/>
  <c r="D20" i="24"/>
  <c r="D11" i="24"/>
  <c r="H19" i="24"/>
  <c r="D8" i="24"/>
  <c r="G5" i="24"/>
  <c r="D21" i="24"/>
  <c r="G16" i="24"/>
  <c r="G13" i="24"/>
  <c r="H8" i="24"/>
  <c r="G19" i="24"/>
  <c r="D13" i="24"/>
  <c r="G10" i="24"/>
  <c r="D5" i="24"/>
  <c r="D18" i="24"/>
  <c r="H13" i="24"/>
  <c r="D16" i="24"/>
  <c r="H21" i="23"/>
  <c r="D19" i="23"/>
  <c r="G15" i="23"/>
  <c r="D10" i="23"/>
  <c r="G7" i="23"/>
  <c r="G11" i="23"/>
  <c r="G21" i="23"/>
  <c r="H18" i="23"/>
  <c r="D15" i="23"/>
  <c r="G12" i="23"/>
  <c r="D7" i="23"/>
  <c r="D18" i="23"/>
  <c r="D6" i="23"/>
  <c r="D21" i="23"/>
  <c r="G18" i="23"/>
  <c r="D12" i="23"/>
  <c r="G9" i="23"/>
  <c r="D9" i="23"/>
  <c r="D14" i="23"/>
  <c r="D20" i="23"/>
  <c r="G16" i="23"/>
  <c r="H13" i="23"/>
  <c r="D11" i="23"/>
  <c r="G8" i="23"/>
  <c r="D16" i="23"/>
  <c r="G13" i="23"/>
  <c r="D8" i="23"/>
  <c r="G5" i="23"/>
  <c r="G19" i="23"/>
  <c r="D13" i="23"/>
  <c r="G10" i="23"/>
  <c r="H7" i="23"/>
  <c r="D5" i="23"/>
  <c r="G14" i="23"/>
  <c r="G6" i="23"/>
  <c r="G20" i="23"/>
  <c r="H8" i="23"/>
  <c r="H21" i="22"/>
  <c r="D19" i="22"/>
  <c r="G15" i="22"/>
  <c r="D10" i="22"/>
  <c r="G7" i="22"/>
  <c r="G21" i="22"/>
  <c r="H18" i="22"/>
  <c r="D15" i="22"/>
  <c r="G12" i="22"/>
  <c r="H9" i="22"/>
  <c r="D7" i="22"/>
  <c r="D21" i="22"/>
  <c r="G18" i="22"/>
  <c r="H14" i="22"/>
  <c r="D12" i="22"/>
  <c r="G9" i="22"/>
  <c r="H20" i="22"/>
  <c r="D18" i="22"/>
  <c r="H11" i="22"/>
  <c r="G6" i="22"/>
  <c r="G20" i="22"/>
  <c r="D14" i="22"/>
  <c r="G11" i="22"/>
  <c r="D6" i="22"/>
  <c r="G16" i="22"/>
  <c r="H19" i="22"/>
  <c r="D16" i="22"/>
  <c r="G13" i="22"/>
  <c r="H10" i="22"/>
  <c r="D8" i="22"/>
  <c r="G5" i="22"/>
  <c r="G14" i="22"/>
  <c r="H13" i="22"/>
  <c r="G19" i="22"/>
  <c r="D13" i="22"/>
  <c r="G10" i="22"/>
  <c r="H7" i="22"/>
  <c r="D5" i="22"/>
  <c r="D9" i="22"/>
  <c r="D20" i="22"/>
  <c r="D11" i="22"/>
  <c r="G8" i="22"/>
  <c r="H21" i="21"/>
  <c r="D19" i="21"/>
  <c r="G15" i="21"/>
  <c r="H12" i="21"/>
  <c r="D10" i="21"/>
  <c r="G7" i="21"/>
  <c r="G14" i="21"/>
  <c r="G16" i="21"/>
  <c r="G21" i="21"/>
  <c r="H18" i="21"/>
  <c r="D15" i="21"/>
  <c r="G12" i="21"/>
  <c r="H9" i="21"/>
  <c r="D7" i="21"/>
  <c r="H20" i="21"/>
  <c r="D9" i="21"/>
  <c r="G6" i="21"/>
  <c r="G20" i="21"/>
  <c r="D14" i="21"/>
  <c r="G11" i="21"/>
  <c r="D6" i="21"/>
  <c r="D11" i="21"/>
  <c r="D21" i="21"/>
  <c r="G18" i="21"/>
  <c r="H14" i="21"/>
  <c r="D12" i="21"/>
  <c r="G9" i="21"/>
  <c r="H11" i="21"/>
  <c r="D18" i="21"/>
  <c r="H13" i="21"/>
  <c r="D20" i="21"/>
  <c r="H19" i="21"/>
  <c r="D16" i="21"/>
  <c r="G13" i="21"/>
  <c r="D8" i="21"/>
  <c r="G5" i="21"/>
  <c r="G19" i="21"/>
  <c r="D13" i="21"/>
  <c r="G10" i="21"/>
  <c r="H7" i="21"/>
  <c r="D5" i="21"/>
  <c r="G8" i="21"/>
  <c r="H21" i="20"/>
  <c r="D19" i="20"/>
  <c r="G15" i="20"/>
  <c r="D10" i="20"/>
  <c r="G7" i="20"/>
  <c r="H20" i="20"/>
  <c r="G14" i="20"/>
  <c r="H11" i="20"/>
  <c r="D9" i="20"/>
  <c r="G6" i="20"/>
  <c r="G21" i="20"/>
  <c r="H18" i="20"/>
  <c r="D15" i="20"/>
  <c r="G12" i="20"/>
  <c r="H9" i="20"/>
  <c r="D7" i="20"/>
  <c r="D21" i="20"/>
  <c r="G18" i="20"/>
  <c r="H14" i="20"/>
  <c r="D12" i="20"/>
  <c r="G9" i="20"/>
  <c r="H6" i="20"/>
  <c r="D18" i="20"/>
  <c r="D5" i="20"/>
  <c r="G20" i="20"/>
  <c r="D14" i="20"/>
  <c r="G11" i="20"/>
  <c r="H8" i="20"/>
  <c r="D6" i="20"/>
  <c r="D20" i="20"/>
  <c r="G16" i="20"/>
  <c r="H13" i="20"/>
  <c r="D11" i="20"/>
  <c r="G8" i="20"/>
  <c r="H19" i="20"/>
  <c r="D16" i="20"/>
  <c r="G13" i="20"/>
  <c r="H10" i="20"/>
  <c r="D8" i="20"/>
  <c r="G5" i="20"/>
  <c r="G19" i="20"/>
  <c r="G10" i="20"/>
  <c r="D13" i="20"/>
  <c r="H21" i="19"/>
  <c r="D19" i="19"/>
  <c r="G15" i="19"/>
  <c r="D10" i="19"/>
  <c r="G7" i="19"/>
  <c r="G21" i="19"/>
  <c r="H18" i="19"/>
  <c r="D15" i="19"/>
  <c r="G12" i="19"/>
  <c r="D7" i="19"/>
  <c r="G11" i="19"/>
  <c r="D11" i="19"/>
  <c r="G5" i="19"/>
  <c r="D21" i="19"/>
  <c r="G18" i="19"/>
  <c r="H14" i="19"/>
  <c r="D12" i="19"/>
  <c r="G9" i="19"/>
  <c r="G20" i="19"/>
  <c r="G16" i="19"/>
  <c r="D18" i="19"/>
  <c r="G14" i="19"/>
  <c r="H11" i="19"/>
  <c r="D9" i="19"/>
  <c r="G6" i="19"/>
  <c r="D6" i="19"/>
  <c r="D20" i="19"/>
  <c r="G8" i="19"/>
  <c r="G13" i="19"/>
  <c r="G19" i="19"/>
  <c r="D13" i="19"/>
  <c r="G10" i="19"/>
  <c r="H7" i="19"/>
  <c r="D5" i="19"/>
  <c r="D14" i="19"/>
  <c r="H13" i="19"/>
  <c r="D16" i="19"/>
  <c r="D8" i="19"/>
  <c r="H21" i="18"/>
  <c r="D19" i="18"/>
  <c r="G15" i="18"/>
  <c r="H12" i="18"/>
  <c r="D10" i="18"/>
  <c r="G7" i="18"/>
  <c r="D18" i="18"/>
  <c r="D9" i="18"/>
  <c r="G20" i="18"/>
  <c r="G11" i="18"/>
  <c r="G21" i="18"/>
  <c r="H18" i="18"/>
  <c r="D15" i="18"/>
  <c r="G12" i="18"/>
  <c r="H9" i="18"/>
  <c r="D7" i="18"/>
  <c r="H20" i="18"/>
  <c r="H11" i="18"/>
  <c r="G6" i="18"/>
  <c r="D14" i="18"/>
  <c r="H8" i="18"/>
  <c r="D13" i="18"/>
  <c r="D5" i="18"/>
  <c r="D21" i="18"/>
  <c r="G18" i="18"/>
  <c r="H14" i="18"/>
  <c r="D12" i="18"/>
  <c r="G9" i="18"/>
  <c r="H6" i="18"/>
  <c r="G14" i="18"/>
  <c r="D6" i="18"/>
  <c r="G10" i="18"/>
  <c r="D20" i="18"/>
  <c r="G16" i="18"/>
  <c r="H13" i="18"/>
  <c r="D11" i="18"/>
  <c r="G8" i="18"/>
  <c r="H5" i="18"/>
  <c r="H19" i="18"/>
  <c r="G13" i="18"/>
  <c r="H10" i="18"/>
  <c r="D8" i="18"/>
  <c r="G5" i="18"/>
  <c r="H7" i="18"/>
  <c r="D16" i="18"/>
  <c r="G19" i="18"/>
  <c r="H21" i="17"/>
  <c r="D19" i="17"/>
  <c r="G15" i="17"/>
  <c r="H12" i="17"/>
  <c r="D10" i="17"/>
  <c r="G7" i="17"/>
  <c r="G14" i="17"/>
  <c r="G21" i="17"/>
  <c r="H18" i="17"/>
  <c r="D15" i="17"/>
  <c r="G12" i="17"/>
  <c r="H9" i="17"/>
  <c r="D7" i="17"/>
  <c r="D18" i="17"/>
  <c r="D21" i="17"/>
  <c r="G18" i="17"/>
  <c r="H14" i="17"/>
  <c r="D12" i="17"/>
  <c r="G9" i="17"/>
  <c r="H20" i="17"/>
  <c r="G6" i="17"/>
  <c r="D14" i="17"/>
  <c r="D6" i="17"/>
  <c r="H11" i="17"/>
  <c r="G20" i="17"/>
  <c r="D20" i="17"/>
  <c r="G16" i="17"/>
  <c r="H13" i="17"/>
  <c r="D11" i="17"/>
  <c r="G8" i="17"/>
  <c r="H5" i="17"/>
  <c r="D16" i="17"/>
  <c r="G13" i="17"/>
  <c r="H10" i="17"/>
  <c r="D8" i="17"/>
  <c r="G5" i="17"/>
  <c r="G19" i="17"/>
  <c r="D13" i="17"/>
  <c r="G10" i="17"/>
  <c r="H7" i="17"/>
  <c r="D5" i="17"/>
  <c r="D9" i="17"/>
  <c r="G11" i="17"/>
  <c r="H21" i="16"/>
  <c r="D19" i="16"/>
  <c r="G15" i="16"/>
  <c r="D10" i="16"/>
  <c r="G7" i="16"/>
  <c r="D18" i="16"/>
  <c r="D14" i="16"/>
  <c r="G21" i="16"/>
  <c r="H18" i="16"/>
  <c r="D15" i="16"/>
  <c r="G12" i="16"/>
  <c r="H9" i="16"/>
  <c r="D7" i="16"/>
  <c r="G14" i="16"/>
  <c r="H19" i="16"/>
  <c r="G13" i="16"/>
  <c r="D8" i="16"/>
  <c r="G5" i="16"/>
  <c r="D21" i="16"/>
  <c r="G18" i="16"/>
  <c r="H14" i="16"/>
  <c r="D12" i="16"/>
  <c r="G9" i="16"/>
  <c r="H11" i="16"/>
  <c r="D9" i="16"/>
  <c r="G6" i="16"/>
  <c r="D6" i="16"/>
  <c r="D16" i="16"/>
  <c r="G20" i="16"/>
  <c r="D20" i="16"/>
  <c r="G16" i="16"/>
  <c r="H13" i="16"/>
  <c r="D11" i="16"/>
  <c r="G8" i="16"/>
  <c r="G19" i="16"/>
  <c r="D13" i="16"/>
  <c r="G10" i="16"/>
  <c r="D5" i="16"/>
  <c r="G11" i="16"/>
  <c r="H21" i="15"/>
  <c r="D19" i="15"/>
  <c r="G15" i="15"/>
  <c r="D10" i="15"/>
  <c r="G7" i="15"/>
  <c r="H20" i="15"/>
  <c r="G21" i="15"/>
  <c r="H18" i="15"/>
  <c r="D15" i="15"/>
  <c r="G12" i="15"/>
  <c r="H9" i="15"/>
  <c r="D7" i="15"/>
  <c r="G14" i="15"/>
  <c r="H11" i="15"/>
  <c r="D9" i="15"/>
  <c r="G6" i="15"/>
  <c r="G20" i="15"/>
  <c r="D14" i="15"/>
  <c r="G11" i="15"/>
  <c r="H8" i="15"/>
  <c r="D6" i="15"/>
  <c r="G16" i="15"/>
  <c r="D21" i="15"/>
  <c r="G18" i="15"/>
  <c r="H14" i="15"/>
  <c r="D12" i="15"/>
  <c r="G9" i="15"/>
  <c r="D18" i="15"/>
  <c r="D20" i="15"/>
  <c r="G8" i="15"/>
  <c r="H19" i="15"/>
  <c r="D16" i="15"/>
  <c r="G13" i="15"/>
  <c r="H10" i="15"/>
  <c r="D8" i="15"/>
  <c r="G5" i="15"/>
  <c r="G19" i="15"/>
  <c r="D13" i="15"/>
  <c r="G10" i="15"/>
  <c r="H7" i="15"/>
  <c r="D11" i="15"/>
  <c r="D5" i="15"/>
  <c r="H13" i="15"/>
  <c r="H5" i="15"/>
  <c r="H21" i="14"/>
  <c r="D19" i="14"/>
  <c r="G15" i="14"/>
  <c r="H12" i="14"/>
  <c r="D10" i="14"/>
  <c r="G7" i="14"/>
  <c r="D18" i="14"/>
  <c r="G13" i="14"/>
  <c r="G21" i="14"/>
  <c r="H18" i="14"/>
  <c r="D15" i="14"/>
  <c r="G12" i="14"/>
  <c r="H9" i="14"/>
  <c r="D7" i="14"/>
  <c r="D9" i="14"/>
  <c r="D21" i="14"/>
  <c r="G18" i="14"/>
  <c r="H14" i="14"/>
  <c r="D12" i="14"/>
  <c r="G9" i="14"/>
  <c r="H20" i="14"/>
  <c r="G14" i="14"/>
  <c r="H11" i="14"/>
  <c r="G20" i="14"/>
  <c r="H16" i="14"/>
  <c r="D14" i="14"/>
  <c r="G11" i="14"/>
  <c r="H8" i="14"/>
  <c r="D6" i="14"/>
  <c r="D20" i="14"/>
  <c r="H13" i="14"/>
  <c r="D11" i="14"/>
  <c r="G8" i="14"/>
  <c r="H5" i="14"/>
  <c r="D16" i="14"/>
  <c r="D8" i="14"/>
  <c r="G16" i="14"/>
  <c r="H19" i="14"/>
  <c r="G5" i="14"/>
  <c r="G19" i="14"/>
  <c r="D13" i="14"/>
  <c r="G10" i="14"/>
  <c r="H7" i="14"/>
  <c r="D5" i="14"/>
  <c r="G6" i="14"/>
  <c r="H21" i="13"/>
  <c r="D19" i="13"/>
  <c r="G15" i="13"/>
  <c r="H12" i="13"/>
  <c r="D10" i="13"/>
  <c r="G7" i="13"/>
  <c r="H20" i="13"/>
  <c r="D9" i="13"/>
  <c r="G6" i="13"/>
  <c r="G11" i="13"/>
  <c r="D6" i="13"/>
  <c r="D5" i="13"/>
  <c r="G21" i="13"/>
  <c r="H18" i="13"/>
  <c r="D15" i="13"/>
  <c r="G12" i="13"/>
  <c r="D7" i="13"/>
  <c r="D18" i="13"/>
  <c r="D21" i="13"/>
  <c r="G18" i="13"/>
  <c r="H14" i="13"/>
  <c r="D12" i="13"/>
  <c r="G9" i="13"/>
  <c r="H11" i="13"/>
  <c r="D14" i="13"/>
  <c r="D13" i="13"/>
  <c r="G14" i="13"/>
  <c r="G20" i="13"/>
  <c r="G10" i="13"/>
  <c r="D20" i="13"/>
  <c r="G16" i="13"/>
  <c r="H13" i="13"/>
  <c r="D11" i="13"/>
  <c r="G8" i="13"/>
  <c r="D16" i="13"/>
  <c r="G13" i="13"/>
  <c r="H10" i="13"/>
  <c r="D8" i="13"/>
  <c r="G5" i="13"/>
  <c r="H19" i="13"/>
  <c r="G19" i="13"/>
  <c r="H21" i="12"/>
  <c r="D19" i="12"/>
  <c r="G15" i="12"/>
  <c r="H12" i="12"/>
  <c r="D10" i="12"/>
  <c r="G7" i="12"/>
  <c r="D18" i="12"/>
  <c r="G21" i="12"/>
  <c r="H18" i="12"/>
  <c r="D15" i="12"/>
  <c r="G12" i="12"/>
  <c r="D7" i="12"/>
  <c r="H11" i="12"/>
  <c r="G13" i="12"/>
  <c r="G5" i="12"/>
  <c r="D21" i="12"/>
  <c r="G18" i="12"/>
  <c r="H14" i="12"/>
  <c r="D12" i="12"/>
  <c r="G9" i="12"/>
  <c r="G14" i="12"/>
  <c r="D9" i="12"/>
  <c r="G6" i="12"/>
  <c r="G20" i="12"/>
  <c r="D14" i="12"/>
  <c r="G11" i="12"/>
  <c r="H8" i="12"/>
  <c r="D6" i="12"/>
  <c r="H20" i="12"/>
  <c r="D20" i="12"/>
  <c r="G16" i="12"/>
  <c r="H13" i="12"/>
  <c r="D11" i="12"/>
  <c r="G8" i="12"/>
  <c r="H5" i="12"/>
  <c r="G19" i="12"/>
  <c r="D13" i="12"/>
  <c r="G10" i="12"/>
  <c r="H7" i="12"/>
  <c r="D5" i="12"/>
  <c r="D16" i="12"/>
  <c r="D8" i="12"/>
  <c r="H21" i="11"/>
  <c r="D19" i="11"/>
  <c r="G15" i="11"/>
  <c r="H12" i="11"/>
  <c r="D10" i="11"/>
  <c r="G7" i="11"/>
  <c r="H20" i="11"/>
  <c r="H8" i="11"/>
  <c r="G10" i="11"/>
  <c r="G21" i="11"/>
  <c r="H18" i="11"/>
  <c r="D15" i="11"/>
  <c r="G12" i="11"/>
  <c r="H9" i="11"/>
  <c r="D7" i="11"/>
  <c r="D14" i="11"/>
  <c r="D13" i="11"/>
  <c r="D21" i="11"/>
  <c r="G18" i="11"/>
  <c r="H14" i="11"/>
  <c r="D12" i="11"/>
  <c r="G9" i="11"/>
  <c r="H6" i="11"/>
  <c r="D18" i="11"/>
  <c r="G14" i="11"/>
  <c r="H11" i="11"/>
  <c r="D9" i="11"/>
  <c r="G6" i="11"/>
  <c r="G20" i="11"/>
  <c r="G11" i="11"/>
  <c r="D6" i="11"/>
  <c r="D20" i="11"/>
  <c r="G16" i="11"/>
  <c r="H13" i="11"/>
  <c r="D11" i="11"/>
  <c r="G8" i="11"/>
  <c r="G13" i="11"/>
  <c r="H10" i="11"/>
  <c r="D8" i="11"/>
  <c r="G5" i="11"/>
  <c r="D5" i="11"/>
  <c r="D16" i="11"/>
  <c r="G19" i="11"/>
  <c r="D19" i="10"/>
  <c r="G15" i="10"/>
  <c r="D10" i="10"/>
  <c r="G7" i="10"/>
  <c r="D14" i="10"/>
  <c r="G21" i="10"/>
  <c r="D15" i="10"/>
  <c r="G12" i="10"/>
  <c r="H9" i="10"/>
  <c r="D7" i="10"/>
  <c r="H8" i="10"/>
  <c r="H5" i="10"/>
  <c r="D21" i="10"/>
  <c r="G18" i="10"/>
  <c r="D12" i="10"/>
  <c r="G9" i="10"/>
  <c r="G14" i="10"/>
  <c r="D9" i="10"/>
  <c r="G6" i="10"/>
  <c r="G11" i="10"/>
  <c r="G20" i="10"/>
  <c r="D20" i="10"/>
  <c r="G16" i="10"/>
  <c r="D11" i="10"/>
  <c r="D16" i="10"/>
  <c r="G13" i="10"/>
  <c r="D8" i="10"/>
  <c r="G5" i="10"/>
  <c r="G19" i="10"/>
  <c r="D13" i="10"/>
  <c r="G10" i="10"/>
  <c r="H7" i="10"/>
  <c r="D5" i="10"/>
  <c r="D18" i="10"/>
  <c r="H16" i="10"/>
  <c r="D6" i="10"/>
  <c r="G8" i="10"/>
  <c r="H21" i="9"/>
  <c r="H20" i="9"/>
  <c r="G14" i="9"/>
  <c r="G10" i="9"/>
  <c r="D20" i="9"/>
  <c r="H13" i="9"/>
  <c r="H8" i="9"/>
  <c r="D5" i="9"/>
  <c r="H19" i="9"/>
  <c r="G13" i="9"/>
  <c r="G8" i="9"/>
  <c r="H7" i="9"/>
  <c r="G20" i="9"/>
  <c r="D14" i="9"/>
  <c r="D9" i="9"/>
  <c r="G5" i="9"/>
  <c r="H11" i="9"/>
  <c r="G11" i="9"/>
  <c r="G16" i="9"/>
  <c r="D11" i="9"/>
  <c r="G6" i="9"/>
  <c r="D16" i="9"/>
  <c r="H10" i="9"/>
  <c r="D6" i="9"/>
  <c r="D18" i="9"/>
  <c r="D8" i="9"/>
  <c r="D13" i="9"/>
  <c r="G19" i="9"/>
  <c r="G9" i="9"/>
  <c r="D12" i="9"/>
  <c r="H14" i="9"/>
  <c r="G18" i="9"/>
  <c r="D21" i="9"/>
  <c r="D7" i="9"/>
  <c r="G12" i="9"/>
  <c r="D15" i="9"/>
  <c r="H18" i="9"/>
  <c r="G21" i="9"/>
  <c r="G7" i="9"/>
  <c r="D10" i="9"/>
  <c r="G15" i="9"/>
  <c r="D19" i="9"/>
  <c r="H21" i="8"/>
  <c r="D19" i="8"/>
  <c r="G15" i="8"/>
  <c r="D10" i="8"/>
  <c r="G7" i="8"/>
  <c r="D18" i="8"/>
  <c r="G21" i="8"/>
  <c r="H18" i="8"/>
  <c r="D15" i="8"/>
  <c r="G12" i="8"/>
  <c r="H9" i="8"/>
  <c r="D7" i="8"/>
  <c r="H20" i="8"/>
  <c r="H11" i="8"/>
  <c r="D9" i="8"/>
  <c r="G6" i="8"/>
  <c r="G11" i="8"/>
  <c r="D6" i="8"/>
  <c r="D21" i="8"/>
  <c r="G18" i="8"/>
  <c r="H14" i="8"/>
  <c r="D12" i="8"/>
  <c r="G9" i="8"/>
  <c r="G14" i="8"/>
  <c r="D14" i="8"/>
  <c r="D20" i="8"/>
  <c r="G16" i="8"/>
  <c r="H13" i="8"/>
  <c r="D11" i="8"/>
  <c r="G8" i="8"/>
  <c r="H19" i="8"/>
  <c r="D16" i="8"/>
  <c r="G13" i="8"/>
  <c r="H10" i="8"/>
  <c r="D8" i="8"/>
  <c r="G5" i="8"/>
  <c r="G19" i="8"/>
  <c r="D13" i="8"/>
  <c r="G10" i="8"/>
  <c r="D5" i="8"/>
  <c r="G20" i="8"/>
  <c r="H21" i="7"/>
  <c r="D19" i="7"/>
  <c r="G15" i="7"/>
  <c r="D10" i="7"/>
  <c r="G7" i="7"/>
  <c r="H20" i="7"/>
  <c r="G11" i="7"/>
  <c r="D6" i="7"/>
  <c r="G16" i="7"/>
  <c r="D11" i="7"/>
  <c r="G8" i="7"/>
  <c r="H5" i="7"/>
  <c r="G10" i="7"/>
  <c r="G21" i="7"/>
  <c r="H18" i="7"/>
  <c r="D15" i="7"/>
  <c r="G12" i="7"/>
  <c r="H9" i="7"/>
  <c r="D7" i="7"/>
  <c r="D18" i="7"/>
  <c r="D9" i="7"/>
  <c r="D14" i="7"/>
  <c r="D21" i="7"/>
  <c r="G18" i="7"/>
  <c r="H14" i="7"/>
  <c r="D12" i="7"/>
  <c r="G9" i="7"/>
  <c r="G14" i="7"/>
  <c r="H11" i="7"/>
  <c r="G6" i="7"/>
  <c r="G20" i="7"/>
  <c r="H8" i="7"/>
  <c r="H13" i="7"/>
  <c r="D13" i="7"/>
  <c r="D5" i="7"/>
  <c r="D20" i="7"/>
  <c r="H19" i="7"/>
  <c r="D16" i="7"/>
  <c r="G13" i="7"/>
  <c r="H10" i="7"/>
  <c r="D8" i="7"/>
  <c r="G5" i="7"/>
  <c r="G19" i="7"/>
  <c r="H7" i="7"/>
  <c r="D19" i="6"/>
  <c r="G15" i="6"/>
  <c r="D10" i="6"/>
  <c r="G7" i="6"/>
  <c r="D18" i="6"/>
  <c r="H8" i="6"/>
  <c r="G16" i="6"/>
  <c r="G8" i="6"/>
  <c r="D16" i="6"/>
  <c r="G5" i="6"/>
  <c r="G21" i="6"/>
  <c r="D15" i="6"/>
  <c r="G12" i="6"/>
  <c r="H9" i="6"/>
  <c r="D7" i="6"/>
  <c r="D9" i="6"/>
  <c r="G6" i="6"/>
  <c r="H19" i="6"/>
  <c r="D21" i="6"/>
  <c r="G18" i="6"/>
  <c r="D12" i="6"/>
  <c r="G9" i="6"/>
  <c r="G14" i="6"/>
  <c r="G11" i="6"/>
  <c r="G13" i="6"/>
  <c r="D6" i="6"/>
  <c r="D8" i="6"/>
  <c r="G20" i="6"/>
  <c r="D20" i="6"/>
  <c r="G19" i="6"/>
  <c r="D13" i="6"/>
  <c r="G10" i="6"/>
  <c r="H7" i="6"/>
  <c r="D5" i="6"/>
  <c r="H11" i="6"/>
  <c r="D14" i="6"/>
  <c r="D11" i="6"/>
  <c r="H5" i="6"/>
  <c r="H21" i="5"/>
  <c r="D19" i="5"/>
  <c r="G15" i="5"/>
  <c r="D10" i="5"/>
  <c r="G7" i="5"/>
  <c r="G18" i="5"/>
  <c r="H20" i="5"/>
  <c r="D18" i="5"/>
  <c r="G14" i="5"/>
  <c r="D9" i="5"/>
  <c r="G6" i="5"/>
  <c r="G20" i="5"/>
  <c r="D14" i="5"/>
  <c r="G11" i="5"/>
  <c r="H8" i="5"/>
  <c r="D6" i="5"/>
  <c r="D20" i="5"/>
  <c r="H5" i="5"/>
  <c r="G13" i="5"/>
  <c r="G21" i="5"/>
  <c r="H18" i="5"/>
  <c r="D15" i="5"/>
  <c r="G12" i="5"/>
  <c r="D7" i="5"/>
  <c r="H14" i="5"/>
  <c r="D12" i="5"/>
  <c r="G9" i="5"/>
  <c r="D11" i="5"/>
  <c r="H10" i="5"/>
  <c r="D21" i="5"/>
  <c r="H13" i="5"/>
  <c r="D16" i="5"/>
  <c r="G5" i="5"/>
  <c r="G19" i="5"/>
  <c r="D13" i="5"/>
  <c r="G10" i="5"/>
  <c r="H7" i="5"/>
  <c r="D5" i="5"/>
  <c r="H11" i="5"/>
  <c r="G16" i="5"/>
  <c r="G8" i="5"/>
  <c r="H19" i="5"/>
  <c r="D8" i="5"/>
  <c r="B1" i="3" a="1"/>
  <c r="B1" i="3" s="1"/>
  <c r="H68" i="58" a="1"/>
  <c r="P78" i="58" a="1"/>
  <c r="C47" i="58" a="1"/>
  <c r="H41" i="58" a="1"/>
  <c r="Q71" i="58" a="1"/>
  <c r="Q65" i="58" a="1"/>
  <c r="V73" i="58" a="1"/>
  <c r="P56" i="58" a="1"/>
  <c r="H69" i="58" a="1"/>
  <c r="Q57" i="58" a="1"/>
  <c r="O44" i="58" a="1"/>
  <c r="O48" i="58" a="1"/>
  <c r="F40" i="58" a="1"/>
  <c r="V62" i="58" a="1"/>
  <c r="H35" i="58" a="1"/>
  <c r="F44" i="58" a="1"/>
  <c r="R59" i="58" a="1"/>
  <c r="D47" i="58" a="1"/>
  <c r="H40" i="58" a="1"/>
  <c r="M44" i="58" a="1"/>
  <c r="U42" i="58" a="1"/>
  <c r="P63" i="58" a="1"/>
  <c r="M79" i="58" a="1"/>
  <c r="L72" i="58" a="1"/>
  <c r="C75" i="58" a="1"/>
  <c r="R76" i="58" a="1"/>
  <c r="I79" i="58" a="1"/>
  <c r="L31" i="58" a="1"/>
  <c r="U55" i="58" a="1"/>
  <c r="E47" i="58" a="1"/>
  <c r="J44" i="58" a="1"/>
  <c r="E45" i="58" a="1"/>
  <c r="I61" i="58" a="1"/>
  <c r="I48" i="58" a="1"/>
  <c r="U40" i="58" a="1"/>
  <c r="H38" i="58" a="1"/>
  <c r="C70" i="58" a="1"/>
  <c r="M68" i="58" a="1"/>
  <c r="V32" i="58" a="1"/>
  <c r="E37" i="58" a="1"/>
  <c r="D42" i="58" a="1"/>
  <c r="H59" i="58" a="1"/>
  <c r="I68" i="58" a="1"/>
  <c r="P66" i="58" a="1"/>
  <c r="U79" i="58" a="1"/>
  <c r="F56" i="58" a="1"/>
  <c r="S44" i="58" a="1"/>
  <c r="I51" i="58" a="1"/>
  <c r="P31" i="58" a="1"/>
  <c r="C58" i="58" a="1"/>
  <c r="D40" i="58" a="1"/>
  <c r="D55" i="58" a="1"/>
  <c r="H42" i="58" a="1"/>
  <c r="L41" i="58" a="1"/>
  <c r="I46" i="58" a="1"/>
  <c r="E70" i="58" a="1"/>
  <c r="U77" i="58" a="1"/>
  <c r="V75" i="58" a="1"/>
  <c r="U50" i="58" a="1"/>
  <c r="Q61" i="58" a="1"/>
  <c r="C65" i="58" a="1"/>
  <c r="R62" i="58" a="1"/>
  <c r="I42" i="58" a="1"/>
  <c r="R40" i="58" a="1"/>
  <c r="P43" i="58" a="1"/>
  <c r="S56" i="58" a="1"/>
  <c r="S67" i="58" a="1"/>
  <c r="Q34" i="58" a="1"/>
  <c r="S55" i="58" a="1"/>
  <c r="D53" i="58" a="1"/>
  <c r="E76" i="58" a="1"/>
  <c r="M58" i="58" a="1"/>
  <c r="U73" i="58" a="1"/>
  <c r="O51" i="58" a="1"/>
  <c r="I70" i="58" a="1"/>
  <c r="M46" i="58" a="1"/>
  <c r="D54" i="58" a="1"/>
  <c r="D56" i="58" a="1"/>
  <c r="M41" i="58" a="1"/>
  <c r="E74" i="58" a="1"/>
  <c r="O55" i="58" a="1"/>
  <c r="F53" i="58" a="1"/>
  <c r="E49" i="58" a="1"/>
  <c r="I45" i="58" a="1"/>
  <c r="L78" i="58" a="1"/>
  <c r="S66" i="58" a="1"/>
  <c r="O59" i="58" a="1"/>
  <c r="P48" i="58" a="1"/>
  <c r="J64" i="58" a="1"/>
  <c r="D63" i="58" a="1"/>
  <c r="S73" i="58" a="1"/>
  <c r="O43" i="58" a="1"/>
  <c r="Q32" i="58" a="1"/>
  <c r="Q48" i="58" a="1"/>
  <c r="V61" i="58" a="1"/>
  <c r="U63" i="58" a="1"/>
  <c r="J33" i="58" a="1"/>
  <c r="M35" i="58" a="1"/>
  <c r="C38" i="58" a="1"/>
  <c r="P37" i="58" a="1"/>
  <c r="M48" i="58" a="1"/>
  <c r="C52" i="58" a="1"/>
  <c r="P61" i="58" a="1"/>
  <c r="E67" i="58" a="1"/>
  <c r="C79" i="58" a="1"/>
  <c r="V42" i="58" a="1"/>
  <c r="H65" i="58" a="1"/>
  <c r="D79" i="58" a="1"/>
  <c r="H31" i="58" a="1"/>
  <c r="E55" i="58" a="1"/>
  <c r="Q66" i="58" a="1"/>
  <c r="O46" i="58" a="1"/>
  <c r="E50" i="58" a="1"/>
  <c r="S45" i="58" a="1"/>
  <c r="E75" i="58" a="1"/>
  <c r="J52" i="58" a="1"/>
  <c r="F51" i="58" a="1"/>
  <c r="L40" i="58" a="1"/>
  <c r="J63" i="58" a="1"/>
  <c r="E58" i="58" a="1"/>
  <c r="O75" i="58" a="1"/>
  <c r="J51" i="58" a="1"/>
  <c r="C51" i="58" a="1"/>
  <c r="P54" i="58" a="1"/>
  <c r="R56" i="58" a="1"/>
  <c r="O31" i="58" a="1"/>
  <c r="Q46" i="58" a="1"/>
  <c r="H55" i="58" a="1"/>
  <c r="Q77" i="58" a="1"/>
  <c r="U56" i="58" a="1"/>
  <c r="P39" i="58" a="1"/>
  <c r="L69" i="58" a="1"/>
  <c r="L76" i="58" a="1"/>
  <c r="S39" i="58" a="1"/>
  <c r="V46" i="58" a="1"/>
  <c r="R45" i="58" a="1"/>
  <c r="I78" i="58" a="1"/>
  <c r="D44" i="58" a="1"/>
  <c r="I75" i="58" a="1"/>
  <c r="R74" i="58" a="1"/>
  <c r="C40" i="58" a="1"/>
  <c r="V58" i="58" a="1"/>
  <c r="P70" i="58" a="1"/>
  <c r="Q53" i="58" a="1"/>
  <c r="V54" i="58" a="1"/>
  <c r="R64" i="58" a="1"/>
  <c r="R63" i="58" a="1"/>
  <c r="L50" i="58" a="1"/>
  <c r="L33" i="58" a="1"/>
  <c r="D60" i="58" a="1"/>
  <c r="H70" i="58" a="1"/>
  <c r="E57" i="58" a="1"/>
  <c r="M38" i="58" a="1"/>
  <c r="D46" i="58" a="1"/>
  <c r="D49" i="58" a="1"/>
  <c r="R57" i="58" a="1"/>
  <c r="J65" i="58" a="1"/>
  <c r="R35" i="58" a="1"/>
  <c r="I40" i="58" a="1"/>
  <c r="M69" i="58" a="1"/>
  <c r="S74" i="58" a="1"/>
  <c r="P53" i="58" a="1"/>
  <c r="L67" i="58" a="1"/>
  <c r="C69" i="58" a="1"/>
  <c r="P41" i="58" a="1"/>
  <c r="C67" i="58" a="1"/>
  <c r="V39" i="58" a="1"/>
  <c r="I56" i="58" a="1"/>
  <c r="V72" i="58" a="1"/>
  <c r="F38" i="58" a="1"/>
  <c r="Q47" i="58" a="1"/>
  <c r="C72" i="58" a="1"/>
  <c r="Q31" i="58" a="1"/>
  <c r="S76" i="58" a="1"/>
  <c r="S62" i="58" a="1"/>
  <c r="U52" i="58" a="1"/>
  <c r="H71" i="58" a="1"/>
  <c r="V33" i="58" a="1"/>
  <c r="J75" i="58" a="1"/>
  <c r="U37" i="58" a="1"/>
  <c r="V49" i="58" a="1"/>
  <c r="P38" i="58" a="1"/>
  <c r="F43" i="58" a="1"/>
  <c r="C56" i="58" a="1"/>
  <c r="C63" i="58" a="1"/>
  <c r="F36" i="58" a="1"/>
  <c r="R75" i="58" a="1"/>
  <c r="Q73" i="58" a="1"/>
  <c r="M65" i="58" a="1"/>
  <c r="D68" i="58" a="1"/>
  <c r="R70" i="58" a="1"/>
  <c r="J37" i="58" a="1"/>
  <c r="U67" i="58" a="1"/>
  <c r="U58" i="58" a="1"/>
  <c r="M31" i="58" a="1"/>
  <c r="R54" i="58" a="1"/>
  <c r="L75" i="58" a="1"/>
  <c r="J40" i="58" a="1"/>
  <c r="R36" i="58" a="1"/>
  <c r="C49" i="58" a="1"/>
  <c r="D66" i="58" a="1"/>
  <c r="I59" i="58" a="1"/>
  <c r="P49" i="58" a="1"/>
  <c r="V66" i="58" a="1"/>
  <c r="Q35" i="58" a="1"/>
  <c r="U39" i="58" a="1"/>
  <c r="H78" i="58" a="1"/>
  <c r="U65" i="58" a="1"/>
  <c r="E53" i="58" a="1"/>
  <c r="Q63" i="58" a="1"/>
  <c r="U72" i="58" a="1"/>
  <c r="P62" i="58" a="1"/>
  <c r="M52" i="58" a="1"/>
  <c r="L59" i="58" a="1"/>
  <c r="P71" i="58" a="1"/>
  <c r="R37" i="58" a="1"/>
  <c r="I49" i="58" a="1"/>
  <c r="I74" i="58" a="1"/>
  <c r="O50" i="58" a="1"/>
  <c r="F67" i="58" a="1"/>
  <c r="S65" i="58" a="1"/>
  <c r="M66" i="58" a="1"/>
  <c r="M62" i="58" a="1"/>
  <c r="M37" i="58" a="1"/>
  <c r="E64" i="58" a="1"/>
  <c r="F45" i="58" a="1"/>
  <c r="M74" i="58" a="1"/>
  <c r="D50" i="58" a="1"/>
  <c r="M45" i="58" a="1"/>
  <c r="S68" i="58" a="1"/>
  <c r="M40" i="58" a="1"/>
  <c r="R41" i="58" a="1"/>
  <c r="D32" i="58" a="1"/>
  <c r="D67" i="58" a="1"/>
  <c r="O32" i="58" a="1"/>
  <c r="M56" i="58" a="1"/>
  <c r="U71" i="58" a="1"/>
  <c r="S53" i="58" a="1"/>
  <c r="E51" i="58" a="1"/>
  <c r="H34" i="58" a="1"/>
  <c r="P64" i="58" a="1"/>
  <c r="M75" i="58" a="1"/>
  <c r="J78" i="58" a="1"/>
  <c r="O72" i="58" a="1"/>
  <c r="J32" i="58" a="1"/>
  <c r="O47" i="58" a="1"/>
  <c r="H51" i="58" a="1"/>
  <c r="J45" i="58" a="1"/>
  <c r="S71" i="58" a="1"/>
  <c r="D75" i="58" a="1"/>
  <c r="J54" i="58" a="1"/>
  <c r="J35" i="58" a="1"/>
  <c r="P45" i="58" a="1"/>
  <c r="L48" i="58" a="1"/>
  <c r="Q68" i="58" a="1"/>
  <c r="E40" i="58" a="1"/>
  <c r="V68" i="58" a="1"/>
  <c r="J36" i="58" a="1"/>
  <c r="E31" i="58" a="1"/>
  <c r="U33" i="58" a="1"/>
  <c r="I35" i="58" a="1"/>
  <c r="P75" i="58" a="1"/>
  <c r="P36" i="58" a="1"/>
  <c r="Q56" i="58" a="1"/>
  <c r="E66" i="58" a="1"/>
  <c r="U49" i="58" a="1"/>
  <c r="F78" i="58" a="1"/>
  <c r="J70" i="58" a="1"/>
  <c r="V77" i="58" a="1"/>
  <c r="O53" i="58" a="1"/>
  <c r="I63" i="58" a="1"/>
  <c r="F60" i="58" a="1"/>
  <c r="P35" i="58" a="1"/>
  <c r="L63" i="58" a="1"/>
  <c r="D59" i="58" a="1"/>
  <c r="E42" i="58" a="1"/>
  <c r="P34" i="58" a="1"/>
  <c r="V78" i="58" a="1"/>
  <c r="Q43" i="58" a="1"/>
  <c r="R53" i="58" a="1"/>
  <c r="I65" i="58" a="1"/>
  <c r="S40" i="58" a="1"/>
  <c r="H54" i="58" a="1"/>
  <c r="V52" i="58" a="1"/>
  <c r="E73" i="58" a="1"/>
  <c r="J57" i="58" a="1"/>
  <c r="U59" i="58" a="1"/>
  <c r="J56" i="58" a="1"/>
  <c r="C54" i="58" a="1"/>
  <c r="C64" i="58" a="1"/>
  <c r="H76" i="58" a="1"/>
  <c r="D34" i="58" a="1"/>
  <c r="F68" i="58" a="1"/>
  <c r="O42" i="58" a="1"/>
  <c r="R71" i="58" a="1"/>
  <c r="S32" i="58" a="1"/>
  <c r="U48" i="58" a="1"/>
  <c r="P65" i="58" a="1"/>
  <c r="J50" i="58" a="1"/>
  <c r="I50" i="58" a="1"/>
  <c r="C53" i="58" a="1"/>
  <c r="F61" i="58" a="1"/>
  <c r="P57" i="58" a="1"/>
  <c r="U57" i="58" a="1"/>
  <c r="Q39" i="58" a="1"/>
  <c r="E44" i="58" a="1"/>
  <c r="M47" i="58" a="1"/>
  <c r="M32" i="58" a="1"/>
  <c r="H45" i="58" a="1"/>
  <c r="O52" i="58" a="1"/>
  <c r="H47" i="58" a="1"/>
  <c r="O45" i="58" a="1"/>
  <c r="Q54" i="58" a="1"/>
  <c r="U36" i="58" a="1"/>
  <c r="Q78" i="58" a="1"/>
  <c r="L35" i="58" a="1"/>
  <c r="H62" i="58" a="1"/>
  <c r="C55" i="58" a="1"/>
  <c r="V69" i="58" a="1"/>
  <c r="J47" i="58" a="1"/>
  <c r="M76" i="58" a="1"/>
  <c r="H58" i="58" a="1"/>
  <c r="U35" i="58" a="1"/>
  <c r="E35" i="58" a="1"/>
  <c r="P42" i="58" a="1"/>
  <c r="F69" i="58" a="1"/>
  <c r="I55" i="58" a="1"/>
  <c r="F62" i="58" a="1"/>
  <c r="R77" i="58" a="1"/>
  <c r="I41" i="58" a="1"/>
  <c r="F47" i="58" a="1"/>
  <c r="E54" i="58" a="1"/>
  <c r="E61" i="58" a="1"/>
  <c r="L54" i="58" a="1"/>
  <c r="C73" i="58" a="1"/>
  <c r="P33" i="58" a="1"/>
  <c r="H46" i="58" a="1"/>
  <c r="H61" i="58" a="1"/>
  <c r="C60" i="58" a="1"/>
  <c r="E60" i="58" a="1"/>
  <c r="M71" i="58" a="1"/>
  <c r="E79" i="58" a="1"/>
  <c r="L45" i="58" a="1"/>
  <c r="V67" i="58" a="1"/>
  <c r="Q38" i="58" a="1"/>
  <c r="U54" i="58" a="1"/>
  <c r="L74" i="58" a="1"/>
  <c r="M49" i="58" a="1"/>
  <c r="F46" i="58" a="1"/>
  <c r="M50" i="58" a="1"/>
  <c r="M42" i="58" a="1"/>
  <c r="M67" i="58" a="1"/>
  <c r="H36" i="58" a="1"/>
  <c r="F73" i="58" a="1"/>
  <c r="F32" i="58" a="1"/>
  <c r="O67" i="58" a="1"/>
  <c r="Q55" i="58" a="1"/>
  <c r="L44" i="58" a="1"/>
  <c r="E78" i="58" a="1"/>
  <c r="P46" i="58" a="1"/>
  <c r="R42" i="58" a="1"/>
  <c r="P67" i="58" a="1"/>
  <c r="P58" i="58" a="1"/>
  <c r="S69" i="58" a="1"/>
  <c r="J49" i="58" a="1"/>
  <c r="L66" i="58" a="1"/>
  <c r="R49" i="58" a="1"/>
  <c r="U76" i="58" a="1"/>
  <c r="O58" i="58" a="1"/>
  <c r="U34" i="58" a="1"/>
  <c r="J43" i="58" a="1"/>
  <c r="O78" i="58" a="1"/>
  <c r="E63" i="58" a="1"/>
  <c r="V48" i="58" a="1"/>
  <c r="J31" i="58" a="1"/>
  <c r="R34" i="58" a="1"/>
  <c r="V63" i="58" a="1"/>
  <c r="S33" i="58" a="1"/>
  <c r="I60" i="58" a="1"/>
  <c r="O39" i="58" a="1"/>
  <c r="U66" i="58" a="1"/>
  <c r="O69" i="58" a="1"/>
  <c r="V76" i="58" a="1"/>
  <c r="L47" i="58" a="1"/>
  <c r="S58" i="58" a="1"/>
  <c r="I32" i="58" a="1"/>
  <c r="I39" i="58" a="1"/>
  <c r="L51" i="58" a="1"/>
  <c r="V79" i="58" a="1"/>
  <c r="R65" i="58" a="1"/>
  <c r="R67" i="58" a="1"/>
  <c r="J62" i="58" a="1"/>
  <c r="L36" i="58" a="1"/>
  <c r="C77" i="58" a="1"/>
  <c r="P51" i="58" a="1"/>
  <c r="F58" i="58" a="1"/>
  <c r="R66" i="58" a="1"/>
  <c r="L52" i="58" a="1"/>
  <c r="M63" i="58" a="1"/>
  <c r="S49" i="58" a="1"/>
  <c r="S31" i="58" a="1"/>
  <c r="R47" i="58" a="1"/>
  <c r="C46" i="58" a="1"/>
  <c r="J60" i="58" a="1"/>
  <c r="P47" i="58" a="1"/>
  <c r="S75" i="58" a="1"/>
  <c r="E39" i="58" a="1"/>
  <c r="Q62" i="58" a="1"/>
  <c r="U46" i="58" a="1"/>
  <c r="D65" i="58" a="1"/>
  <c r="R50" i="58" a="1"/>
  <c r="S41" i="58" a="1"/>
  <c r="F37" i="58" a="1"/>
  <c r="U70" i="58" a="1"/>
  <c r="R39" i="58" a="1"/>
  <c r="H57" i="58" a="1"/>
  <c r="F54" i="58" a="1"/>
  <c r="F59" i="58" a="1"/>
  <c r="I54" i="58" a="1"/>
  <c r="D52" i="58" a="1"/>
  <c r="S78" i="58" a="1"/>
  <c r="R31" i="58" a="1"/>
  <c r="S48" i="58" a="1"/>
  <c r="J61" i="58" a="1"/>
  <c r="O49" i="58" a="1"/>
  <c r="V43" i="58" a="1"/>
  <c r="R48" i="58" a="1"/>
  <c r="I33" i="58" a="1"/>
  <c r="F72" i="58" a="1"/>
  <c r="Q40" i="58" a="1"/>
  <c r="D62" i="58" a="1"/>
  <c r="P77" i="58" a="1"/>
  <c r="H56" i="58" a="1"/>
  <c r="L43" i="58" a="1"/>
  <c r="O56" i="58" a="1"/>
  <c r="H60" i="58" a="1"/>
  <c r="V34" i="58" a="1"/>
  <c r="U69" i="58" a="1"/>
  <c r="H50" i="58" a="1"/>
  <c r="P73" i="58" a="1"/>
  <c r="F50" i="58" a="1"/>
  <c r="F70" i="58" a="1"/>
  <c r="S37" i="58" a="1"/>
  <c r="V53" i="58" a="1"/>
  <c r="D61" i="58" a="1"/>
  <c r="M34" i="58" a="1"/>
  <c r="L61" i="58" a="1"/>
  <c r="I57" i="58" a="1"/>
  <c r="O60" i="58" a="1"/>
  <c r="C32" i="58" a="1"/>
  <c r="I34" i="58" a="1"/>
  <c r="L60" i="58" a="1"/>
  <c r="U78" i="58" a="1"/>
  <c r="H32" i="58" a="1"/>
  <c r="M60" i="58" a="1"/>
  <c r="V51" i="58" a="1"/>
  <c r="U31" i="58" a="1"/>
  <c r="C59" i="58" a="1"/>
  <c r="D41" i="58" a="1"/>
  <c r="O71" i="58" a="1"/>
  <c r="V57" i="58" a="1"/>
  <c r="H43" i="58" a="1"/>
  <c r="P76" i="58" a="1"/>
  <c r="E77" i="58" a="1"/>
  <c r="R73" i="58" a="1"/>
  <c r="R61" i="58" a="1"/>
  <c r="V65" i="58" a="1"/>
  <c r="S61" i="58" a="1"/>
  <c r="C39" i="58" a="1"/>
  <c r="D37" i="58" a="1"/>
  <c r="V71" i="58" a="1"/>
  <c r="H63" i="58" a="1"/>
  <c r="C76" i="58" a="1"/>
  <c r="V70" i="58" a="1"/>
  <c r="V35" i="58" a="1"/>
  <c r="C66" i="58" a="1"/>
  <c r="R79" i="58" a="1"/>
  <c r="O66" i="58" a="1"/>
  <c r="Q79" i="58" a="1"/>
  <c r="R60" i="58" a="1"/>
  <c r="L71" i="58" a="1"/>
  <c r="I64" i="58" a="1"/>
  <c r="D57" i="58" a="1"/>
  <c r="E56" i="58" a="1"/>
  <c r="D71" i="58" a="1"/>
  <c r="U68" i="58" a="1"/>
  <c r="I72" i="58" a="1"/>
  <c r="L46" i="58" a="1"/>
  <c r="P69" i="58" a="1"/>
  <c r="R51" i="58" a="1"/>
  <c r="E43" i="58" a="1"/>
  <c r="F41" i="58" a="1"/>
  <c r="V36" i="58" a="1"/>
  <c r="S42" i="58" a="1"/>
  <c r="V40" i="58" a="1"/>
  <c r="C41" i="58" a="1"/>
  <c r="F64" i="58" a="1"/>
  <c r="D31" i="58" a="1"/>
  <c r="E32" i="58" a="1"/>
  <c r="H48" i="58" a="1"/>
  <c r="J42" i="58" a="1"/>
  <c r="E36" i="58" a="1"/>
  <c r="O35" i="58" a="1"/>
  <c r="M54" i="58" a="1"/>
  <c r="L39" i="58" a="1"/>
  <c r="U41" i="58" a="1"/>
  <c r="Q64" i="58" a="1"/>
  <c r="M70" i="58" a="1"/>
  <c r="M73" i="58" a="1"/>
  <c r="S54" i="58" a="1"/>
  <c r="J76" i="58" a="1"/>
  <c r="P60" i="58" a="1"/>
  <c r="I77" i="58" a="1"/>
  <c r="H64" i="58" a="1"/>
  <c r="I36" i="58" a="1"/>
  <c r="L42" i="58" a="1"/>
  <c r="M43" i="58" a="1"/>
  <c r="D48" i="58" a="1"/>
  <c r="F55" i="58" a="1"/>
  <c r="C48" i="58" a="1"/>
  <c r="D77" i="58" a="1"/>
  <c r="V41" i="58" a="1"/>
  <c r="J58" i="58" a="1"/>
  <c r="V38" i="58" a="1"/>
  <c r="L73" i="58" a="1"/>
  <c r="E59" i="58" a="1"/>
  <c r="O57" i="58" a="1"/>
  <c r="O64" i="58" a="1"/>
  <c r="E41" i="58" a="1"/>
  <c r="I43" i="58" a="1"/>
  <c r="J74" i="58" a="1"/>
  <c r="I67" i="58" a="1"/>
  <c r="J66" i="58" a="1"/>
  <c r="L57" i="58" a="1"/>
  <c r="J72" i="58" a="1"/>
  <c r="E46" i="58" a="1"/>
  <c r="J38" i="58" a="1"/>
  <c r="H77" i="58" a="1"/>
  <c r="Q52" i="58" a="1"/>
  <c r="F66" i="58" a="1"/>
  <c r="U32" i="58" a="1"/>
  <c r="M57" i="58" a="1"/>
  <c r="Q76" i="58" a="1"/>
  <c r="U74" i="58" a="1"/>
  <c r="S34" i="58" a="1"/>
  <c r="F65" i="58" a="1"/>
  <c r="F34" i="58" a="1"/>
  <c r="R69" i="58" a="1"/>
  <c r="Q37" i="58" a="1"/>
  <c r="D35" i="58" a="1"/>
  <c r="C42" i="58" a="1"/>
  <c r="J71" i="58" a="1"/>
  <c r="E62" i="58" a="1"/>
  <c r="S77" i="58" a="1"/>
  <c r="Q49" i="58" a="1"/>
  <c r="S59" i="58" a="1"/>
  <c r="C44" i="58" a="1"/>
  <c r="L65" i="58" a="1"/>
  <c r="J46" i="58" a="1"/>
  <c r="M77" i="58" a="1"/>
  <c r="Q51" i="58" a="1"/>
  <c r="C62" i="58" a="1"/>
  <c r="C35" i="58" a="1"/>
  <c r="I69" i="58" a="1"/>
  <c r="J59" i="58" a="1"/>
  <c r="H53" i="58" a="1"/>
  <c r="V74" i="58" a="1"/>
  <c r="R32" i="58" a="1"/>
  <c r="U43" i="58" a="1"/>
  <c r="F77" i="58" a="1"/>
  <c r="J41" i="58" a="1"/>
  <c r="P52" i="58" a="1"/>
  <c r="H66" i="58" a="1"/>
  <c r="D72" i="58" a="1"/>
  <c r="O37" i="58" a="1"/>
  <c r="O38" i="58" a="1"/>
  <c r="I71" i="58" a="1"/>
  <c r="D38" i="58" a="1"/>
  <c r="S63" i="58" a="1"/>
  <c r="C50" i="58" a="1"/>
  <c r="S64" i="58" a="1"/>
  <c r="R58" i="58" a="1"/>
  <c r="F35" i="58" a="1"/>
  <c r="J69" i="58" a="1"/>
  <c r="C31" i="58" a="1"/>
  <c r="D36" i="58" a="1"/>
  <c r="F79" i="58" a="1"/>
  <c r="F76" i="58" a="1"/>
  <c r="P55" i="58" a="1"/>
  <c r="V55" i="58" a="1"/>
  <c r="E33" i="58" a="1"/>
  <c r="H52" i="58" a="1"/>
  <c r="C43" i="58" a="1"/>
  <c r="Q41" i="58" a="1"/>
  <c r="S60" i="58" a="1"/>
  <c r="I47" i="58" a="1"/>
  <c r="Q74" i="58" a="1"/>
  <c r="L34" i="58" a="1"/>
  <c r="F75" i="58" a="1"/>
  <c r="C34" i="58" a="1"/>
  <c r="Q58" i="58" a="1"/>
  <c r="Q59" i="58" a="1"/>
  <c r="D64" i="58" a="1"/>
  <c r="O54" i="58" a="1"/>
  <c r="P72" i="58" a="1"/>
  <c r="M55" i="58" a="1"/>
  <c r="I52" i="58" a="1"/>
  <c r="D78" i="58" a="1"/>
  <c r="O33" i="58" a="1"/>
  <c r="I58" i="58" a="1"/>
  <c r="S46" i="58" a="1"/>
  <c r="P40" i="58" a="1"/>
  <c r="L64" i="58" a="1"/>
  <c r="J77" i="58" a="1"/>
  <c r="J73" i="58" a="1"/>
  <c r="M64" i="58" a="1"/>
  <c r="O74" i="58" a="1"/>
  <c r="E68" i="58" a="1"/>
  <c r="P50" i="58" a="1"/>
  <c r="V47" i="58" a="1"/>
  <c r="J39" i="58" a="1"/>
  <c r="O65" i="58" a="1"/>
  <c r="L53" i="58" a="1"/>
  <c r="P44" i="58" a="1"/>
  <c r="R78" i="58" a="1"/>
  <c r="Q60" i="58" a="1"/>
  <c r="O68" i="58" a="1"/>
  <c r="D51" i="58" a="1"/>
  <c r="S70" i="58" a="1"/>
  <c r="H79" i="58" a="1"/>
  <c r="O79" i="58" a="1"/>
  <c r="F63" i="58" a="1"/>
  <c r="M53" i="58" a="1"/>
  <c r="C68" i="58" a="1"/>
  <c r="S47" i="58" a="1"/>
  <c r="H67" i="58" a="1"/>
  <c r="L62" i="58" a="1"/>
  <c r="L77" i="58" a="1"/>
  <c r="V50" i="58" a="1"/>
  <c r="M59" i="58" a="1"/>
  <c r="I44" i="58" a="1"/>
  <c r="D33" i="58" a="1"/>
  <c r="U53" i="58" a="1"/>
  <c r="L49" i="58" a="1"/>
  <c r="H75" i="58" a="1"/>
  <c r="F33" i="58" a="1"/>
  <c r="U75" i="58" a="1"/>
  <c r="O62" i="58" a="1"/>
  <c r="O41" i="58" a="1"/>
  <c r="C37" i="58" a="1"/>
  <c r="R43" i="58" a="1"/>
  <c r="D74" i="58" a="1"/>
  <c r="Q72" i="58" a="1"/>
  <c r="S43" i="58" a="1"/>
  <c r="D58" i="58" a="1"/>
  <c r="P68" i="58" a="1"/>
  <c r="P74" i="58" a="1"/>
  <c r="V64" i="58" a="1"/>
  <c r="E52" i="58" a="1"/>
  <c r="U64" i="58" a="1"/>
  <c r="S38" i="58" a="1"/>
  <c r="E69" i="58" a="1"/>
  <c r="J34" i="58" a="1"/>
  <c r="H44" i="58" a="1"/>
  <c r="U51" i="58" a="1"/>
  <c r="P32" i="58" a="1"/>
  <c r="C33" i="58" a="1"/>
  <c r="Q42" i="58" a="1"/>
  <c r="S57" i="58" a="1"/>
  <c r="V45" i="58" a="1"/>
  <c r="F39" i="58" a="1"/>
  <c r="R52" i="58" a="1"/>
  <c r="F71" i="58" a="1"/>
  <c r="R38" i="58" a="1"/>
  <c r="I53" i="58" a="1"/>
  <c r="D45" i="58" a="1"/>
  <c r="D43" i="58" a="1"/>
  <c r="R44" i="58" a="1"/>
  <c r="I31" i="58" a="1"/>
  <c r="P79" i="58" a="1"/>
  <c r="U47" i="58" a="1"/>
  <c r="J48" i="58" a="1"/>
  <c r="Q33" i="58" a="1"/>
  <c r="F74" i="58" a="1"/>
  <c r="E72" i="58" a="1"/>
  <c r="U45" i="58" a="1"/>
  <c r="O77" i="58" a="1"/>
  <c r="V59" i="58" a="1"/>
  <c r="F31" i="58" a="1"/>
  <c r="F42" i="58" a="1"/>
  <c r="O40" i="58" a="1"/>
  <c r="U61" i="58" a="1"/>
  <c r="S52" i="58" a="1"/>
  <c r="L37" i="58" a="1"/>
  <c r="R68" i="58" a="1"/>
  <c r="J68" i="58" a="1"/>
  <c r="L38" i="58" a="1"/>
  <c r="L68" i="58" a="1"/>
  <c r="M39" i="58" a="1"/>
  <c r="J55" i="58" a="1"/>
  <c r="E71" i="58" a="1"/>
  <c r="M78" i="58" a="1"/>
  <c r="Q70" i="58" a="1"/>
  <c r="D69" i="58" a="1"/>
  <c r="V37" i="58" a="1"/>
  <c r="H33" i="58" a="1"/>
  <c r="O61" i="58" a="1"/>
  <c r="U44" i="58" a="1"/>
  <c r="V56" i="58" a="1"/>
  <c r="Q36" i="58" a="1"/>
  <c r="C61" i="58" a="1"/>
  <c r="P59" i="58" a="1"/>
  <c r="C36" i="58" a="1"/>
  <c r="V31" i="58" a="1"/>
  <c r="E48" i="58" a="1"/>
  <c r="R46" i="58" a="1"/>
  <c r="M36" i="58" a="1"/>
  <c r="O70" i="58" a="1"/>
  <c r="C45" i="58" a="1"/>
  <c r="S50" i="58" a="1"/>
  <c r="Q67" i="58" a="1"/>
  <c r="M33" i="58" a="1"/>
  <c r="D39" i="58" a="1"/>
  <c r="U60" i="58" a="1"/>
  <c r="F49" i="58" a="1"/>
  <c r="L32" i="58" a="1"/>
  <c r="F57" i="58" a="1"/>
  <c r="I37" i="58" a="1"/>
  <c r="M61" i="58" a="1"/>
  <c r="Q69" i="58" a="1"/>
  <c r="F52" i="58" a="1"/>
  <c r="R33" i="58" a="1"/>
  <c r="O63" i="58" a="1"/>
  <c r="I66" i="58" a="1"/>
  <c r="E38" i="58" a="1"/>
  <c r="R72" i="58" a="1"/>
  <c r="S51" i="58" a="1"/>
  <c r="E65" i="58" a="1"/>
  <c r="J67" i="58" a="1"/>
  <c r="L58" i="58" a="1"/>
  <c r="E34" i="58" a="1"/>
  <c r="H49" i="58" a="1"/>
  <c r="L70" i="58" a="1"/>
  <c r="C74" i="58" a="1"/>
  <c r="V60" i="58" a="1"/>
  <c r="U62" i="58" a="1"/>
  <c r="O73" i="58" a="1"/>
  <c r="H74" i="58" a="1"/>
  <c r="D73" i="58" a="1"/>
  <c r="O34" i="58" a="1"/>
  <c r="H39" i="58" a="1"/>
  <c r="J53" i="58" a="1"/>
  <c r="H73" i="58" a="1"/>
  <c r="J79" i="58" a="1"/>
  <c r="I73" i="58" a="1"/>
  <c r="Q50" i="58" a="1"/>
  <c r="L55" i="58" a="1"/>
  <c r="U38" i="58" a="1"/>
  <c r="M72" i="58" a="1"/>
  <c r="F48" i="58" a="1"/>
  <c r="Q44" i="58" a="1"/>
  <c r="O36" i="58" a="1"/>
  <c r="I76" i="58" a="1"/>
  <c r="M51" i="58" a="1"/>
  <c r="C57" i="58" a="1"/>
  <c r="O76" i="58" a="1"/>
  <c r="I62" i="58" a="1"/>
  <c r="V44" i="58" a="1"/>
  <c r="D70" i="58" a="1"/>
  <c r="S79" i="58" a="1"/>
  <c r="C71" i="58" a="1"/>
  <c r="L79" i="58" a="1"/>
  <c r="S72" i="58" a="1"/>
  <c r="C78" i="58" a="1"/>
  <c r="Q75" i="58" a="1"/>
  <c r="I38" i="58" a="1"/>
  <c r="R55" i="58" a="1"/>
  <c r="H72" i="58" a="1"/>
  <c r="Q45" i="58" a="1"/>
  <c r="L56" i="58" a="1"/>
  <c r="H37" i="58" a="1"/>
  <c r="D76" i="58" a="1"/>
  <c r="S35" i="58" a="1"/>
  <c r="S36" i="58" a="1"/>
  <c r="H65" i="58" l="1"/>
  <c r="V57" i="56"/>
  <c r="V55" i="56"/>
  <c r="V56" i="56"/>
  <c r="V54" i="56"/>
  <c r="V53" i="56"/>
  <c r="R53" i="56"/>
  <c r="R57" i="56"/>
  <c r="R56" i="56"/>
  <c r="R55" i="56"/>
  <c r="R54" i="56"/>
  <c r="N56" i="56"/>
  <c r="N57" i="56"/>
  <c r="N55" i="56"/>
  <c r="N54" i="56"/>
  <c r="N53" i="56"/>
  <c r="J57" i="56"/>
  <c r="J56" i="56"/>
  <c r="J55" i="56"/>
  <c r="J54" i="56"/>
  <c r="J53" i="56"/>
  <c r="O31" i="58"/>
  <c r="S33" i="58"/>
  <c r="V42" i="58"/>
  <c r="P49" i="58"/>
  <c r="V52" i="58"/>
  <c r="L53" i="58"/>
  <c r="S57" i="58"/>
  <c r="J60" i="58"/>
  <c r="M62" i="58"/>
  <c r="V33" i="58"/>
  <c r="M34" i="58"/>
  <c r="R36" i="58"/>
  <c r="R37" i="58"/>
  <c r="U62" i="58"/>
  <c r="Q38" i="58"/>
  <c r="R42" i="58"/>
  <c r="O42" i="58"/>
  <c r="V44" i="58"/>
  <c r="U44" i="58"/>
  <c r="R40" i="58"/>
  <c r="S45" i="58"/>
  <c r="R52" i="58"/>
  <c r="U53" i="58"/>
  <c r="Q56" i="58"/>
  <c r="S58" i="58"/>
  <c r="O60" i="58"/>
  <c r="J63" i="58"/>
  <c r="M47" i="58"/>
  <c r="J51" i="58"/>
  <c r="U50" i="58"/>
  <c r="P31" i="58"/>
  <c r="O44" i="58"/>
  <c r="O51" i="58"/>
  <c r="L54" i="58"/>
  <c r="Q59" i="58"/>
  <c r="Q60" i="58"/>
  <c r="Q52" i="58"/>
  <c r="Q77" i="58"/>
  <c r="L78" i="58"/>
  <c r="M78" i="58"/>
  <c r="V79" i="58"/>
  <c r="V64" i="58"/>
  <c r="S71" i="58"/>
  <c r="L73" i="58"/>
  <c r="R76" i="58"/>
  <c r="L31" i="58"/>
  <c r="V32" i="58"/>
  <c r="Q34" i="58"/>
  <c r="O35" i="58"/>
  <c r="O41" i="58"/>
  <c r="S43" i="58"/>
  <c r="S44" i="58"/>
  <c r="R49" i="58"/>
  <c r="S51" i="58"/>
  <c r="V55" i="58"/>
  <c r="R56" i="58"/>
  <c r="U31" i="58"/>
  <c r="S32" i="58"/>
  <c r="U32" i="58"/>
  <c r="U33" i="58"/>
  <c r="S34" i="58"/>
  <c r="U34" i="58"/>
  <c r="R35" i="58"/>
  <c r="P36" i="58"/>
  <c r="P37" i="58"/>
  <c r="M37" i="58"/>
  <c r="R38" i="58"/>
  <c r="O38" i="58"/>
  <c r="L39" i="58"/>
  <c r="Q39" i="58"/>
  <c r="V40" i="58"/>
  <c r="Q40" i="58"/>
  <c r="U40" i="58"/>
  <c r="M41" i="58"/>
  <c r="Q42" i="58"/>
  <c r="V45" i="58"/>
  <c r="J46" i="58"/>
  <c r="Q47" i="58"/>
  <c r="O48" i="58"/>
  <c r="V49" i="58"/>
  <c r="U49" i="58"/>
  <c r="Q51" i="58"/>
  <c r="P52" i="58"/>
  <c r="P53" i="58"/>
  <c r="J53" i="58"/>
  <c r="J54" i="58"/>
  <c r="L55" i="58"/>
  <c r="S50" i="58"/>
  <c r="V57" i="58"/>
  <c r="J58" i="58"/>
  <c r="L59" i="58"/>
  <c r="U59" i="58"/>
  <c r="O59" i="58"/>
  <c r="J61" i="58"/>
  <c r="O61" i="58"/>
  <c r="O62" i="58"/>
  <c r="L63" i="58"/>
  <c r="S63" i="58"/>
  <c r="U64" i="58"/>
  <c r="L69" i="58"/>
  <c r="O69" i="58"/>
  <c r="P70" i="58"/>
  <c r="J70" i="58"/>
  <c r="J71" i="58"/>
  <c r="V72" i="58"/>
  <c r="O72" i="58"/>
  <c r="P73" i="58"/>
  <c r="Q73" i="58"/>
  <c r="V74" i="58"/>
  <c r="P74" i="58"/>
  <c r="O74" i="58"/>
  <c r="O75" i="58"/>
  <c r="O76" i="58"/>
  <c r="S31" i="58"/>
  <c r="L32" i="58"/>
  <c r="O32" i="58"/>
  <c r="V34" i="58"/>
  <c r="J35" i="58"/>
  <c r="L35" i="58"/>
  <c r="Q36" i="58"/>
  <c r="U36" i="58"/>
  <c r="V37" i="58"/>
  <c r="J38" i="58"/>
  <c r="O39" i="58"/>
  <c r="S40" i="58"/>
  <c r="R41" i="58"/>
  <c r="J42" i="58"/>
  <c r="V43" i="58"/>
  <c r="R44" i="58"/>
  <c r="P45" i="58"/>
  <c r="O45" i="58"/>
  <c r="L46" i="58"/>
  <c r="V47" i="58"/>
  <c r="R48" i="58"/>
  <c r="V48" i="58"/>
  <c r="J48" i="58"/>
  <c r="Q49" i="58"/>
  <c r="V51" i="58"/>
  <c r="Q53" i="58"/>
  <c r="O53" i="58"/>
  <c r="Q54" i="58"/>
  <c r="O54" i="58"/>
  <c r="U56" i="58"/>
  <c r="O56" i="58"/>
  <c r="P50" i="58"/>
  <c r="Q50" i="58"/>
  <c r="P57" i="58"/>
  <c r="R58" i="58"/>
  <c r="V59" i="58"/>
  <c r="L60" i="58"/>
  <c r="V61" i="58"/>
  <c r="V63" i="58"/>
  <c r="L65" i="58"/>
  <c r="P65" i="58"/>
  <c r="U65" i="58"/>
  <c r="L67" i="58"/>
  <c r="P68" i="58"/>
  <c r="U68" i="58"/>
  <c r="J69" i="58"/>
  <c r="P72" i="58"/>
  <c r="U72" i="58"/>
  <c r="L74" i="58"/>
  <c r="L75" i="58"/>
  <c r="Q76" i="58"/>
  <c r="U76" i="58"/>
  <c r="P77" i="58"/>
  <c r="U78" i="58"/>
  <c r="S79" i="58"/>
  <c r="M77" i="58"/>
  <c r="O77" i="58"/>
  <c r="P79" i="58"/>
  <c r="Q79" i="58"/>
  <c r="J41" i="58"/>
  <c r="Q55" i="58"/>
  <c r="M63" i="58"/>
  <c r="S68" i="58"/>
  <c r="V78" i="58"/>
  <c r="R78" i="58"/>
  <c r="R79" i="58"/>
  <c r="O79" i="58"/>
  <c r="J77" i="58"/>
  <c r="S78" i="58"/>
  <c r="M79" i="58"/>
  <c r="Q64" i="58"/>
  <c r="R71" i="58"/>
  <c r="M74" i="58"/>
  <c r="S75" i="58"/>
  <c r="M33" i="58"/>
  <c r="P44" i="58"/>
  <c r="J45" i="58"/>
  <c r="P48" i="58"/>
  <c r="M52" i="58"/>
  <c r="M55" i="58"/>
  <c r="O50" i="58"/>
  <c r="S59" i="58"/>
  <c r="M59" i="58"/>
  <c r="U61" i="58"/>
  <c r="L62" i="58"/>
  <c r="Q62" i="58"/>
  <c r="U63" i="58"/>
  <c r="V65" i="58"/>
  <c r="Q66" i="58"/>
  <c r="V69" i="58"/>
  <c r="O73" i="58"/>
  <c r="M35" i="58"/>
  <c r="V38" i="58"/>
  <c r="S38" i="58"/>
  <c r="U42" i="58"/>
  <c r="P43" i="58"/>
  <c r="O43" i="58"/>
  <c r="Q44" i="58"/>
  <c r="P47" i="58"/>
  <c r="U48" i="58"/>
  <c r="U51" i="58"/>
  <c r="J52" i="58"/>
  <c r="O57" i="58"/>
  <c r="P61" i="58"/>
  <c r="Q61" i="58"/>
  <c r="V70" i="58"/>
  <c r="L76" i="58"/>
  <c r="V76" i="58"/>
  <c r="R32" i="58"/>
  <c r="J34" i="58"/>
  <c r="V35" i="58"/>
  <c r="O36" i="58"/>
  <c r="P39" i="58"/>
  <c r="S39" i="58"/>
  <c r="J40" i="58"/>
  <c r="Q41" i="58"/>
  <c r="P42" i="58"/>
  <c r="L42" i="58"/>
  <c r="M45" i="58"/>
  <c r="R46" i="58"/>
  <c r="O49" i="58"/>
  <c r="L51" i="58"/>
  <c r="L52" i="58"/>
  <c r="V53" i="58"/>
  <c r="S54" i="58"/>
  <c r="P55" i="58"/>
  <c r="R55" i="58"/>
  <c r="O55" i="58"/>
  <c r="L50" i="58"/>
  <c r="R50" i="58"/>
  <c r="J57" i="58"/>
  <c r="M58" i="58"/>
  <c r="S60" i="58"/>
  <c r="U60" i="58"/>
  <c r="R63" i="58"/>
  <c r="Q63" i="58"/>
  <c r="P64" i="58"/>
  <c r="J64" i="58"/>
  <c r="O65" i="58"/>
  <c r="L66" i="58"/>
  <c r="Q67" i="58"/>
  <c r="M67" i="58"/>
  <c r="R69" i="58"/>
  <c r="Q69" i="58"/>
  <c r="Q71" i="58"/>
  <c r="V73" i="58"/>
  <c r="J74" i="58"/>
  <c r="S74" i="58"/>
  <c r="Q75" i="58"/>
  <c r="M76" i="58"/>
  <c r="Q78" i="58"/>
  <c r="O78" i="58"/>
  <c r="J79" i="58"/>
  <c r="S67" i="58"/>
  <c r="U67" i="58"/>
  <c r="U70" i="58"/>
  <c r="R72" i="58"/>
  <c r="M73" i="58"/>
  <c r="U75" i="58"/>
  <c r="R31" i="58"/>
  <c r="S37" i="58"/>
  <c r="P40" i="58"/>
  <c r="U46" i="58"/>
  <c r="L56" i="58"/>
  <c r="P58" i="58"/>
  <c r="U58" i="58"/>
  <c r="S64" i="58"/>
  <c r="S69" i="58"/>
  <c r="Q70" i="58"/>
  <c r="S70" i="58"/>
  <c r="L77" i="58"/>
  <c r="O33" i="58"/>
  <c r="L37" i="58"/>
  <c r="J37" i="58"/>
  <c r="P38" i="58"/>
  <c r="Q45" i="58"/>
  <c r="V46" i="58"/>
  <c r="O46" i="58"/>
  <c r="M56" i="58"/>
  <c r="Q57" i="58"/>
  <c r="Q58" i="58"/>
  <c r="M61" i="58"/>
  <c r="P62" i="58"/>
  <c r="M65" i="58"/>
  <c r="U69" i="58"/>
  <c r="P71" i="58"/>
  <c r="J73" i="58"/>
  <c r="Q74" i="58"/>
  <c r="M75" i="58"/>
  <c r="O34" i="58"/>
  <c r="Q35" i="58"/>
  <c r="S35" i="58"/>
  <c r="L36" i="58"/>
  <c r="J39" i="58"/>
  <c r="S41" i="58"/>
  <c r="M42" i="58"/>
  <c r="L44" i="58"/>
  <c r="U45" i="58"/>
  <c r="O47" i="58"/>
  <c r="M48" i="58"/>
  <c r="Q48" i="58"/>
  <c r="V31" i="58"/>
  <c r="J31" i="58"/>
  <c r="R33" i="58"/>
  <c r="Q33" i="58"/>
  <c r="P33" i="58"/>
  <c r="L34" i="58"/>
  <c r="M36" i="58"/>
  <c r="J36" i="58"/>
  <c r="Q37" i="58"/>
  <c r="O37" i="58"/>
  <c r="M39" i="58"/>
  <c r="O40" i="58"/>
  <c r="P41" i="58"/>
  <c r="U41" i="58"/>
  <c r="L43" i="58"/>
  <c r="R45" i="58"/>
  <c r="S46" i="58"/>
  <c r="L48" i="58"/>
  <c r="S48" i="58"/>
  <c r="L49" i="58"/>
  <c r="S49" i="58"/>
  <c r="J49" i="58"/>
  <c r="R51" i="58"/>
  <c r="M51" i="58"/>
  <c r="R53" i="58"/>
  <c r="S53" i="58"/>
  <c r="M53" i="58"/>
  <c r="R54" i="58"/>
  <c r="M54" i="58"/>
  <c r="U55" i="58"/>
  <c r="S56" i="58"/>
  <c r="V56" i="58"/>
  <c r="J56" i="58"/>
  <c r="V50" i="58"/>
  <c r="M50" i="58"/>
  <c r="R57" i="58"/>
  <c r="R59" i="58"/>
  <c r="J59" i="58"/>
  <c r="R60" i="58"/>
  <c r="P60" i="58"/>
  <c r="S61" i="58"/>
  <c r="O63" i="58"/>
  <c r="R65" i="58"/>
  <c r="Q65" i="58"/>
  <c r="M66" i="58"/>
  <c r="O66" i="58"/>
  <c r="R67" i="58"/>
  <c r="O67" i="58"/>
  <c r="Q68" i="58"/>
  <c r="J68" i="58"/>
  <c r="O68" i="58"/>
  <c r="P69" i="58"/>
  <c r="O71" i="58"/>
  <c r="L72" i="58"/>
  <c r="J72" i="58"/>
  <c r="R74" i="58"/>
  <c r="P75" i="58"/>
  <c r="P76" i="58"/>
  <c r="V77" i="58"/>
  <c r="U77" i="58"/>
  <c r="J78" i="58"/>
  <c r="L79" i="58"/>
  <c r="M64" i="58"/>
  <c r="R66" i="58"/>
  <c r="U66" i="58"/>
  <c r="L68" i="58"/>
  <c r="L70" i="58"/>
  <c r="O70" i="58"/>
  <c r="U71" i="58"/>
  <c r="S76" i="58"/>
  <c r="R34" i="58"/>
  <c r="S36" i="58"/>
  <c r="L38" i="58"/>
  <c r="U38" i="58"/>
  <c r="V39" i="58"/>
  <c r="R43" i="58"/>
  <c r="U54" i="58"/>
  <c r="J55" i="58"/>
  <c r="P59" i="58"/>
  <c r="V60" i="58"/>
  <c r="R61" i="58"/>
  <c r="L64" i="58"/>
  <c r="P66" i="58"/>
  <c r="V67" i="58"/>
  <c r="V68" i="58"/>
  <c r="V75" i="58"/>
  <c r="Q31" i="58"/>
  <c r="M31" i="58"/>
  <c r="M32" i="58"/>
  <c r="P34" i="58"/>
  <c r="R39" i="58"/>
  <c r="M40" i="58"/>
  <c r="L41" i="58"/>
  <c r="J43" i="58"/>
  <c r="Q46" i="58"/>
  <c r="R47" i="58"/>
  <c r="J47" i="58"/>
  <c r="V54" i="58"/>
  <c r="M57" i="58"/>
  <c r="L58" i="58"/>
  <c r="P63" i="58"/>
  <c r="M68" i="58"/>
  <c r="L71" i="58"/>
  <c r="M71" i="58"/>
  <c r="M72" i="58"/>
  <c r="S72" i="58"/>
  <c r="J32" i="58"/>
  <c r="J33" i="58"/>
  <c r="P32" i="58"/>
  <c r="Q32" i="58"/>
  <c r="L33" i="58"/>
  <c r="U35" i="58"/>
  <c r="P35" i="58"/>
  <c r="V36" i="58"/>
  <c r="U37" i="58"/>
  <c r="M38" i="58"/>
  <c r="U39" i="58"/>
  <c r="L40" i="58"/>
  <c r="V41" i="58"/>
  <c r="S42" i="58"/>
  <c r="M43" i="58"/>
  <c r="Q43" i="58"/>
  <c r="U43" i="58"/>
  <c r="J44" i="58"/>
  <c r="M44" i="58"/>
  <c r="L45" i="58"/>
  <c r="P46" i="58"/>
  <c r="M46" i="58"/>
  <c r="L47" i="58"/>
  <c r="S47" i="58"/>
  <c r="U47" i="58"/>
  <c r="M49" i="58"/>
  <c r="P51" i="58"/>
  <c r="S52" i="58"/>
  <c r="U52" i="58"/>
  <c r="O52" i="58"/>
  <c r="P54" i="58"/>
  <c r="S55" i="58"/>
  <c r="P56" i="58"/>
  <c r="J50" i="58"/>
  <c r="L57" i="58"/>
  <c r="U57" i="58"/>
  <c r="V58" i="58"/>
  <c r="O58" i="58"/>
  <c r="M60" i="58"/>
  <c r="L61" i="58"/>
  <c r="R62" i="58"/>
  <c r="S62" i="58"/>
  <c r="V62" i="58"/>
  <c r="J62" i="58"/>
  <c r="R64" i="58"/>
  <c r="O64" i="58"/>
  <c r="S65" i="58"/>
  <c r="J65" i="58"/>
  <c r="V66" i="58"/>
  <c r="S66" i="58"/>
  <c r="J66" i="58"/>
  <c r="P67" i="58"/>
  <c r="J67" i="58"/>
  <c r="R68" i="58"/>
  <c r="M69" i="58"/>
  <c r="R70" i="58"/>
  <c r="M70" i="58"/>
  <c r="V71" i="58"/>
  <c r="Q72" i="58"/>
  <c r="R73" i="58"/>
  <c r="S73" i="58"/>
  <c r="U73" i="58"/>
  <c r="U74" i="58"/>
  <c r="R75" i="58"/>
  <c r="J75" i="58"/>
  <c r="J76" i="58"/>
  <c r="R77" i="58"/>
  <c r="S77" i="58"/>
  <c r="P78" i="58"/>
  <c r="U79" i="58"/>
  <c r="I68" i="58"/>
  <c r="I69" i="58"/>
  <c r="I37" i="58"/>
  <c r="I48" i="58"/>
  <c r="I62" i="58"/>
  <c r="I34" i="58"/>
  <c r="I33" i="58"/>
  <c r="I44" i="58"/>
  <c r="I56" i="58"/>
  <c r="I50" i="58"/>
  <c r="I59" i="58"/>
  <c r="I61" i="58"/>
  <c r="I67" i="58"/>
  <c r="I70" i="58"/>
  <c r="I71" i="58"/>
  <c r="I41" i="58"/>
  <c r="I45" i="58"/>
  <c r="I49" i="58"/>
  <c r="I73" i="58"/>
  <c r="I38" i="58"/>
  <c r="I51" i="58"/>
  <c r="I57" i="58"/>
  <c r="I75" i="58"/>
  <c r="I78" i="58"/>
  <c r="I60" i="58"/>
  <c r="I66" i="58"/>
  <c r="I77" i="58"/>
  <c r="I32" i="58"/>
  <c r="I35" i="58"/>
  <c r="I52" i="58"/>
  <c r="I47" i="58"/>
  <c r="I53" i="58"/>
  <c r="I54" i="58"/>
  <c r="I65" i="58"/>
  <c r="I31" i="58"/>
  <c r="I40" i="58"/>
  <c r="I55" i="58"/>
  <c r="I64" i="58"/>
  <c r="I79" i="58"/>
  <c r="I43" i="58"/>
  <c r="I72" i="58"/>
  <c r="I39" i="58"/>
  <c r="I42" i="58"/>
  <c r="I46" i="58"/>
  <c r="I36" i="58"/>
  <c r="I58" i="58"/>
  <c r="I63" i="58"/>
  <c r="I74" i="58"/>
  <c r="I76" i="58"/>
  <c r="H35" i="58"/>
  <c r="H60" i="58"/>
  <c r="H36" i="58"/>
  <c r="H40" i="58"/>
  <c r="H31" i="58"/>
  <c r="H42" i="58"/>
  <c r="H43" i="58"/>
  <c r="H44" i="58"/>
  <c r="H46" i="58"/>
  <c r="H49" i="58"/>
  <c r="H54" i="58"/>
  <c r="H56" i="58"/>
  <c r="H61" i="58"/>
  <c r="H71" i="58"/>
  <c r="H76" i="58"/>
  <c r="H34" i="58"/>
  <c r="H47" i="58"/>
  <c r="H78" i="58"/>
  <c r="H79" i="58"/>
  <c r="H69" i="58"/>
  <c r="H67" i="58"/>
  <c r="H74" i="58"/>
  <c r="H55" i="58"/>
  <c r="H50" i="58"/>
  <c r="H70" i="58"/>
  <c r="H73" i="58"/>
  <c r="H75" i="58"/>
  <c r="H77" i="58"/>
  <c r="H39" i="58"/>
  <c r="H59" i="58"/>
  <c r="H62" i="58"/>
  <c r="H64" i="58"/>
  <c r="H68" i="58"/>
  <c r="H37" i="58"/>
  <c r="H45" i="58"/>
  <c r="H53" i="58"/>
  <c r="H51" i="58"/>
  <c r="H57" i="58"/>
  <c r="H33" i="58"/>
  <c r="H38" i="58"/>
  <c r="H41" i="58"/>
  <c r="H48" i="58"/>
  <c r="H66" i="58"/>
  <c r="H32" i="58"/>
  <c r="H63" i="58"/>
  <c r="H52" i="58"/>
  <c r="H58" i="58"/>
  <c r="H72" i="58"/>
  <c r="F35" i="58"/>
  <c r="F36" i="58"/>
  <c r="F40" i="58"/>
  <c r="F34" i="58"/>
  <c r="F57" i="58"/>
  <c r="F62" i="58"/>
  <c r="F66" i="58"/>
  <c r="F70" i="58"/>
  <c r="F31" i="58"/>
  <c r="F41" i="58"/>
  <c r="F48" i="58"/>
  <c r="F63" i="58"/>
  <c r="F69" i="58"/>
  <c r="F75" i="58"/>
  <c r="F78" i="58"/>
  <c r="F43" i="58"/>
  <c r="F32" i="58"/>
  <c r="F33" i="58"/>
  <c r="F37" i="58"/>
  <c r="F65" i="58"/>
  <c r="F68" i="58"/>
  <c r="F72" i="58"/>
  <c r="F77" i="58"/>
  <c r="F49" i="58"/>
  <c r="F79" i="58"/>
  <c r="F39" i="58"/>
  <c r="F47" i="58"/>
  <c r="F51" i="58"/>
  <c r="F52" i="58"/>
  <c r="F73" i="58"/>
  <c r="F54" i="58"/>
  <c r="F76" i="58"/>
  <c r="F38" i="58"/>
  <c r="F56" i="58"/>
  <c r="F59" i="58"/>
  <c r="F60" i="58"/>
  <c r="F64" i="58"/>
  <c r="F42" i="58"/>
  <c r="F53" i="58"/>
  <c r="F50" i="58"/>
  <c r="F55" i="58"/>
  <c r="F74" i="58"/>
  <c r="F44" i="58"/>
  <c r="F45" i="58"/>
  <c r="F46" i="58"/>
  <c r="F58" i="58"/>
  <c r="F61" i="58"/>
  <c r="F67" i="58"/>
  <c r="F71" i="58"/>
  <c r="E42" i="58"/>
  <c r="E51" i="58"/>
  <c r="E71" i="58"/>
  <c r="E60" i="58"/>
  <c r="E62" i="58"/>
  <c r="E69" i="58"/>
  <c r="E75" i="58"/>
  <c r="E78" i="58"/>
  <c r="E46" i="58"/>
  <c r="E72" i="58"/>
  <c r="E74" i="58"/>
  <c r="E77" i="58"/>
  <c r="E39" i="58"/>
  <c r="E41" i="58"/>
  <c r="E54" i="58"/>
  <c r="E57" i="58"/>
  <c r="E67" i="58"/>
  <c r="E48" i="58"/>
  <c r="E40" i="58"/>
  <c r="E49" i="58"/>
  <c r="E55" i="58"/>
  <c r="E56" i="58"/>
  <c r="E59" i="58"/>
  <c r="E79" i="58"/>
  <c r="E50" i="58"/>
  <c r="E47" i="58"/>
  <c r="E52" i="58"/>
  <c r="E73" i="58"/>
  <c r="E33" i="58"/>
  <c r="E31" i="58"/>
  <c r="E35" i="58"/>
  <c r="E44" i="58"/>
  <c r="E58" i="58"/>
  <c r="E63" i="58"/>
  <c r="E66" i="58"/>
  <c r="E70" i="58"/>
  <c r="E76" i="58"/>
  <c r="E36" i="58"/>
  <c r="E45" i="58"/>
  <c r="E37" i="58"/>
  <c r="E53" i="58"/>
  <c r="E65" i="58"/>
  <c r="E68" i="58"/>
  <c r="E32" i="58"/>
  <c r="E34" i="58"/>
  <c r="E38" i="58"/>
  <c r="E43" i="58"/>
  <c r="E61" i="58"/>
  <c r="E64" i="58"/>
  <c r="D35" i="58"/>
  <c r="D36" i="58"/>
  <c r="D43" i="58"/>
  <c r="D47" i="58"/>
  <c r="D55" i="58"/>
  <c r="D63" i="58"/>
  <c r="D66" i="58"/>
  <c r="D67" i="58"/>
  <c r="D68" i="58"/>
  <c r="D71" i="58"/>
  <c r="D64" i="58"/>
  <c r="D58" i="58"/>
  <c r="D52" i="58"/>
  <c r="D48" i="58"/>
  <c r="D59" i="58"/>
  <c r="D61" i="58"/>
  <c r="D62" i="58"/>
  <c r="D69" i="58"/>
  <c r="D72" i="58"/>
  <c r="D74" i="58"/>
  <c r="D75" i="58"/>
  <c r="D76" i="58"/>
  <c r="D32" i="58"/>
  <c r="D38" i="58"/>
  <c r="D45" i="58"/>
  <c r="D53" i="58"/>
  <c r="D54" i="58"/>
  <c r="D56" i="58"/>
  <c r="D70" i="58"/>
  <c r="D77" i="58"/>
  <c r="D37" i="58"/>
  <c r="D41" i="58"/>
  <c r="D44" i="58"/>
  <c r="D51" i="58"/>
  <c r="D50" i="58"/>
  <c r="D60" i="58"/>
  <c r="D79" i="58"/>
  <c r="D73" i="58"/>
  <c r="D40" i="58"/>
  <c r="D31" i="58"/>
  <c r="D39" i="58"/>
  <c r="D42" i="58"/>
  <c r="D33" i="58"/>
  <c r="D46" i="58"/>
  <c r="D57" i="58"/>
  <c r="D34" i="58"/>
  <c r="D49" i="58"/>
  <c r="D65" i="58"/>
  <c r="D78" i="58"/>
  <c r="C42" i="58"/>
  <c r="C55" i="58"/>
  <c r="C58" i="58"/>
  <c r="C59" i="58"/>
  <c r="C64" i="58"/>
  <c r="C50" i="58"/>
  <c r="C63" i="58"/>
  <c r="C66" i="58"/>
  <c r="C70" i="58"/>
  <c r="C48" i="58"/>
  <c r="C34" i="58"/>
  <c r="C51" i="58"/>
  <c r="C57" i="58"/>
  <c r="C67" i="58"/>
  <c r="C71" i="58"/>
  <c r="C69" i="58"/>
  <c r="C37" i="58"/>
  <c r="C41" i="58"/>
  <c r="C43" i="58"/>
  <c r="C40" i="58"/>
  <c r="C54" i="58"/>
  <c r="C47" i="58"/>
  <c r="C49" i="58"/>
  <c r="C52" i="58"/>
  <c r="C62" i="58"/>
  <c r="C73" i="58"/>
  <c r="C77" i="58"/>
  <c r="C78" i="58"/>
  <c r="C39" i="58"/>
  <c r="C31" i="58"/>
  <c r="C36" i="58"/>
  <c r="C38" i="58"/>
  <c r="C65" i="58"/>
  <c r="C68" i="58"/>
  <c r="C72" i="58"/>
  <c r="C74" i="58"/>
  <c r="C75" i="58"/>
  <c r="C44" i="58"/>
  <c r="C45" i="58"/>
  <c r="C46" i="58"/>
  <c r="C35" i="58"/>
  <c r="C33" i="58"/>
  <c r="C32" i="58"/>
  <c r="C53" i="58"/>
  <c r="C56" i="58"/>
  <c r="C60" i="58"/>
  <c r="C61" i="58"/>
  <c r="C76" i="58"/>
  <c r="C79" i="58"/>
  <c r="V52" i="56"/>
  <c r="F6" i="56" s="1"/>
  <c r="R52" i="56"/>
  <c r="F5" i="56" s="1"/>
  <c r="N52" i="56"/>
  <c r="F4" i="56" s="1"/>
  <c r="J52" i="56"/>
  <c r="F3" i="56" s="1"/>
  <c r="G5" i="3"/>
  <c r="H8" i="3"/>
  <c r="G18" i="3"/>
  <c r="G19" i="3"/>
  <c r="G20" i="3"/>
  <c r="G21" i="3"/>
  <c r="D18" i="3"/>
  <c r="D19" i="3"/>
  <c r="D20" i="3"/>
  <c r="D21" i="3"/>
  <c r="H5" i="3"/>
  <c r="H6" i="3"/>
  <c r="H7" i="3"/>
  <c r="H9" i="3"/>
  <c r="H13" i="3"/>
  <c r="G6" i="3"/>
  <c r="G14" i="3"/>
  <c r="G7" i="3"/>
  <c r="G15" i="3"/>
  <c r="G10" i="3"/>
  <c r="G11" i="3"/>
  <c r="G12" i="3"/>
  <c r="G8" i="3"/>
  <c r="G16" i="3"/>
  <c r="G9" i="3"/>
  <c r="G13" i="3"/>
  <c r="D5" i="3"/>
  <c r="D6" i="3"/>
  <c r="D14" i="3"/>
  <c r="D9" i="3"/>
  <c r="D10" i="3"/>
  <c r="D12" i="3"/>
  <c r="D7" i="3"/>
  <c r="D15" i="3"/>
  <c r="D8" i="3"/>
  <c r="D16" i="3"/>
  <c r="D13" i="3"/>
  <c r="D11" i="3"/>
  <c r="E30" i="58" a="1"/>
  <c r="M30" i="58" a="1"/>
  <c r="F30" i="58" a="1"/>
  <c r="V30" i="58" a="1"/>
  <c r="P30" i="58" a="1"/>
  <c r="R30" i="58" a="1"/>
  <c r="J30" i="58" a="1"/>
  <c r="O30" i="58" a="1"/>
  <c r="Q30" i="58" a="1"/>
  <c r="D30" i="58" a="1"/>
  <c r="S30" i="58" a="1"/>
  <c r="L30" i="58" a="1"/>
  <c r="H30" i="58" a="1"/>
  <c r="C30" i="58" a="1"/>
  <c r="U30" i="58" a="1"/>
  <c r="I30" i="58" a="1"/>
  <c r="V30" i="58" l="1"/>
  <c r="U30" i="58"/>
  <c r="S30" i="58"/>
  <c r="R30" i="58"/>
  <c r="M4" i="58" s="1"/>
  <c r="Q30" i="58"/>
  <c r="P30" i="58"/>
  <c r="O30" i="58"/>
  <c r="H17" i="58" s="1"/>
  <c r="M30" i="58"/>
  <c r="L30" i="58"/>
  <c r="D13" i="58" s="1"/>
  <c r="J30" i="58"/>
  <c r="I30" i="58"/>
  <c r="H30" i="58"/>
  <c r="H8" i="58" s="1"/>
  <c r="F30" i="58"/>
  <c r="E30" i="58"/>
  <c r="D30" i="58"/>
  <c r="F4" i="58" s="1"/>
  <c r="C30" i="58"/>
  <c r="Q11" i="58" l="1"/>
  <c r="Q12" i="58"/>
  <c r="Q9" i="58"/>
  <c r="Q10" i="58"/>
  <c r="Q7" i="58"/>
  <c r="Q8" i="58"/>
  <c r="Q5" i="58"/>
  <c r="Q6" i="58"/>
  <c r="Q3" i="58"/>
  <c r="Q4" i="58"/>
  <c r="G3" i="58"/>
  <c r="H3" i="58"/>
  <c r="P11" i="58"/>
  <c r="P12" i="58"/>
  <c r="P9" i="58"/>
  <c r="P10" i="58"/>
  <c r="P7" i="58"/>
  <c r="P8" i="58"/>
  <c r="P5" i="58"/>
  <c r="P6" i="58"/>
  <c r="P3" i="58"/>
  <c r="P4" i="58"/>
  <c r="O11" i="58"/>
  <c r="O12" i="58"/>
  <c r="O9" i="58"/>
  <c r="O10" i="58"/>
  <c r="O7" i="58"/>
  <c r="O8" i="58"/>
  <c r="O5" i="58"/>
  <c r="O6" i="58"/>
  <c r="O3" i="58"/>
  <c r="O4" i="58"/>
  <c r="E3" i="58"/>
  <c r="F3" i="58"/>
  <c r="N11" i="58"/>
  <c r="N12" i="58"/>
  <c r="N9" i="58"/>
  <c r="N10" i="58"/>
  <c r="N7" i="58"/>
  <c r="N8" i="58"/>
  <c r="N5" i="58"/>
  <c r="N6" i="58"/>
  <c r="N3" i="58"/>
  <c r="N4" i="58"/>
  <c r="M11" i="58"/>
  <c r="M12" i="58"/>
  <c r="M9" i="58"/>
  <c r="M10" i="58"/>
  <c r="M7" i="58"/>
  <c r="M8" i="58"/>
  <c r="M5" i="58"/>
  <c r="M6" i="58"/>
  <c r="M3" i="58"/>
  <c r="D3" i="58"/>
  <c r="K12" i="58"/>
  <c r="L12" i="58" s="1"/>
  <c r="K10" i="58"/>
  <c r="L10" i="58" s="1"/>
  <c r="K11" i="58"/>
  <c r="L11" i="58" s="1"/>
  <c r="K8" i="58"/>
  <c r="L8" i="58" s="1"/>
  <c r="K9" i="58"/>
  <c r="L9" i="58" s="1"/>
  <c r="K6" i="58"/>
  <c r="L6" i="58" s="1"/>
  <c r="K7" i="58"/>
  <c r="L7" i="58" s="1"/>
  <c r="K4" i="58"/>
  <c r="L4" i="58" s="1"/>
  <c r="K5" i="58"/>
  <c r="L5" i="58" s="1"/>
  <c r="K3" i="58"/>
  <c r="L3" i="58" s="1"/>
  <c r="H21" i="58"/>
  <c r="H22" i="58"/>
  <c r="G20" i="58"/>
  <c r="H20" i="58"/>
  <c r="G19" i="58"/>
  <c r="H19" i="58"/>
  <c r="G18" i="58"/>
  <c r="H18" i="58"/>
  <c r="G17" i="58"/>
  <c r="G21" i="58"/>
  <c r="G22" i="58"/>
  <c r="F21" i="58"/>
  <c r="F22" i="58"/>
  <c r="E20" i="58"/>
  <c r="F20" i="58"/>
  <c r="E19" i="58"/>
  <c r="F19" i="58"/>
  <c r="E18" i="58"/>
  <c r="F18" i="58"/>
  <c r="E17" i="58"/>
  <c r="F17" i="58"/>
  <c r="E21" i="58"/>
  <c r="E22" i="58"/>
  <c r="D17" i="58"/>
  <c r="D18" i="58"/>
  <c r="G25" i="58"/>
  <c r="H25" i="58"/>
  <c r="G24" i="58"/>
  <c r="H24" i="58"/>
  <c r="E25" i="58"/>
  <c r="F25" i="58"/>
  <c r="E24" i="58"/>
  <c r="F24" i="58"/>
  <c r="D24" i="58"/>
  <c r="D25" i="58"/>
  <c r="D21" i="58"/>
  <c r="D22" i="58"/>
  <c r="D20" i="58"/>
  <c r="D19" i="58"/>
  <c r="B22" i="58"/>
  <c r="C22" i="58" s="1"/>
  <c r="B17" i="58"/>
  <c r="C17" i="58" s="1"/>
  <c r="B18" i="58"/>
  <c r="C18" i="58" s="1"/>
  <c r="B24" i="58"/>
  <c r="C24" i="58" s="1"/>
  <c r="B25" i="58"/>
  <c r="C25" i="58" s="1"/>
  <c r="B21" i="58"/>
  <c r="C21" i="58" s="1"/>
  <c r="B20" i="58"/>
  <c r="C20" i="58" s="1"/>
  <c r="B19" i="58"/>
  <c r="C19" i="58" s="1"/>
  <c r="G14" i="58"/>
  <c r="H14" i="58"/>
  <c r="G13" i="58"/>
  <c r="H13" i="58"/>
  <c r="F8" i="58"/>
  <c r="G8" i="58"/>
  <c r="E14" i="58"/>
  <c r="F14" i="58"/>
  <c r="E13" i="58"/>
  <c r="F13" i="58"/>
  <c r="D8" i="58"/>
  <c r="E8" i="58"/>
  <c r="D14" i="58"/>
  <c r="B13" i="58"/>
  <c r="C13" i="58" s="1"/>
  <c r="B14" i="58"/>
  <c r="C14" i="58" s="1"/>
  <c r="G11" i="58"/>
  <c r="H11" i="58"/>
  <c r="E11" i="58"/>
  <c r="F11" i="58"/>
  <c r="D11" i="58"/>
  <c r="B11" i="58"/>
  <c r="C11" i="58" s="1"/>
  <c r="B8" i="58"/>
  <c r="C8" i="58" s="1"/>
  <c r="G6" i="58"/>
  <c r="H6" i="58"/>
  <c r="G5" i="58"/>
  <c r="H5" i="58"/>
  <c r="G4" i="58"/>
  <c r="H4" i="58"/>
  <c r="E6" i="58"/>
  <c r="F6" i="58"/>
  <c r="E5" i="58"/>
  <c r="F5" i="58"/>
  <c r="E4" i="58"/>
  <c r="D6" i="58"/>
  <c r="D5" i="58"/>
  <c r="D4" i="58"/>
  <c r="B6" i="58"/>
  <c r="C6" i="58" s="1"/>
  <c r="B5" i="58"/>
  <c r="C5" i="58" s="1"/>
  <c r="B4" i="58"/>
  <c r="C4" i="58" s="1"/>
  <c r="B3" i="58"/>
  <c r="C3"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tc={FA9E5662-6348-194F-8A55-7B1C84A8F6FF}</author>
    <author>tc={B7AFFA86-CFE6-5047-A1E6-F76B18CC858B}</author>
  </authors>
  <commentList>
    <comment ref="A11" authorId="0" shapeId="0" xr:uid="{FA9E5662-6348-194F-8A55-7B1C84A8F6FF}">
      <text>
        <t>[Threaded comment]
Your version of Excel allows you to read this threaded comment; however, any edits to it will get removed if the file is opened in a newer version of Excel. Learn more: https://go.microsoft.com/fwlink/?linkid=870924
Comment:
    Dürr Group</t>
      </text>
    </comment>
    <comment ref="A45" authorId="1" shapeId="0" xr:uid="{B7AFFA86-CFE6-5047-A1E6-F76B18CC858B}">
      <text>
        <t>[Threaded comment]
Your version of Excel allows you to read this threaded comment; however, any edits to it will get removed if the file is opened in a newer version of Excel. Learn more: https://go.microsoft.com/fwlink/?linkid=870924
Comment:
    Thüga Holding</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tc={85A62334-228C-D240-8061-39A81C5BCBE2}</author>
  </authors>
  <commentList>
    <comment ref="C6" authorId="0" shapeId="0" xr:uid="{85A62334-228C-D240-8061-39A81C5BCBE2}">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tc={DDB1E06E-AB07-AC46-A607-B262F954A850}</author>
  </authors>
  <commentList>
    <comment ref="C6" authorId="0" shapeId="0" xr:uid="{DDB1E06E-AB07-AC46-A607-B262F954A850}">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tc={D8549B25-2D54-0D4F-A057-C722A79F23D6}</author>
  </authors>
  <commentList>
    <comment ref="C6" authorId="0" shapeId="0" xr:uid="{D8549B25-2D54-0D4F-A057-C722A79F23D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tc={8523B591-A07D-7244-81B1-A4CEEEEF9682}</author>
  </authors>
  <commentList>
    <comment ref="C6" authorId="0" shapeId="0" xr:uid="{8523B591-A07D-7244-81B1-A4CEEEEF9682}">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tc={14039B60-EAFE-C049-9A18-E3331C8B8907}</author>
  </authors>
  <commentList>
    <comment ref="C6" authorId="0" shapeId="0" xr:uid="{14039B60-EAFE-C049-9A18-E3331C8B8907}">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tc={BF228762-724E-FD4C-828F-FB7A0A4A313B}</author>
  </authors>
  <commentList>
    <comment ref="C6" authorId="0" shapeId="0" xr:uid="{BF228762-724E-FD4C-828F-FB7A0A4A313B}">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tc={98852109-67C3-264E-BDE4-908CDE6D9E20}</author>
  </authors>
  <commentList>
    <comment ref="C6" authorId="0" shapeId="0" xr:uid="{98852109-67C3-264E-BDE4-908CDE6D9E20}">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tc={29A1E897-2A56-724B-B975-BF1DD5D4C3E1}</author>
  </authors>
  <commentList>
    <comment ref="C6" authorId="0" shapeId="0" xr:uid="{29A1E897-2A56-724B-B975-BF1DD5D4C3E1}">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tc={7FFCC939-ECE6-CA42-BB5F-4BD8845587C5}</author>
  </authors>
  <commentList>
    <comment ref="C6" authorId="0" shapeId="0" xr:uid="{7FFCC939-ECE6-CA42-BB5F-4BD8845587C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tc={2FFDE602-5218-DD45-BC9B-0BD8391AC6B8}</author>
  </authors>
  <commentList>
    <comment ref="C6" authorId="0" shapeId="0" xr:uid="{2FFDE602-5218-DD45-BC9B-0BD8391AC6B8}">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tc={16B4B856-949A-0B4C-8541-8F189F575228}</author>
    <author>tc={CBCC0DBC-C9EA-E84A-9272-EB33E4598431}</author>
    <author>tc={69570B78-C387-CD42-89CB-F23CCD72AFB7}</author>
    <author>tc={0DBE15EF-2948-2C4F-BDAE-2FCFBB8147D0}</author>
    <author>tc={3F491035-4021-244B-8741-BB1ABB597BCC}</author>
    <author>tc={C37A4B4C-26B1-2B45-A53F-E3A16B8E075C}</author>
    <author>tc={6C2911F0-9968-A145-8C01-517FE9B73C45}</author>
    <author>tc={010DABF1-870B-8945-AF49-33DDF32A1464}</author>
    <author>tc={E1E29CE4-74DE-0041-98CB-52330035F1F8}</author>
    <author>tc={DC6BE709-02AB-6B42-BD52-6D1230BD60C8}</author>
  </authors>
  <commentList>
    <comment ref="T10" authorId="0" shapeId="0" xr:uid="{16B4B856-949A-0B4C-8541-8F189F575228}">
      <text>
        <t>[Threaded comment]
Your version of Excel allows you to read this threaded comment; however, any edits to it will get removed if the file is opened in a newer version of Excel. Learn more: https://go.microsoft.com/fwlink/?linkid=870924
Comment:
    Dürr Group</t>
      </text>
    </comment>
    <comment ref="A11" authorId="1" shapeId="0" xr:uid="{CBCC0DBC-C9EA-E84A-9272-EB33E4598431}">
      <text>
        <t>[Threaded comment]
Your version of Excel allows you to read this threaded comment; however, any edits to it will get removed if the file is opened in a newer version of Excel. Learn more: https://go.microsoft.com/fwlink/?linkid=870924
Comment:
    Dürr Group</t>
      </text>
    </comment>
    <comment ref="H16" authorId="2" shapeId="0" xr:uid="{69570B78-C387-CD42-89CB-F23CCD72AFB7}">
      <text>
        <t>[Threaded comment]
Your version of Excel allows you to read this threaded comment; however, any edits to it will get removed if the file is opened in a newer version of Excel. Learn more: https://go.microsoft.com/fwlink/?linkid=870924
Comment:
    Dürr Group</t>
      </text>
    </comment>
    <comment ref="L16" authorId="3" shapeId="0" xr:uid="{0DBE15EF-2948-2C4F-BDAE-2FCFBB8147D0}">
      <text>
        <t>[Threaded comment]
Your version of Excel allows you to read this threaded comment; however, any edits to it will get removed if the file is opened in a newer version of Excel. Learn more: https://go.microsoft.com/fwlink/?linkid=870924
Comment:
    Dürr Group</t>
      </text>
    </comment>
    <comment ref="P23" authorId="4" shapeId="0" xr:uid="{3F491035-4021-244B-8741-BB1ABB597BCC}">
      <text>
        <t>[Threaded comment]
Your version of Excel allows you to read this threaded comment; however, any edits to it will get removed if the file is opened in a newer version of Excel. Learn more: https://go.microsoft.com/fwlink/?linkid=870924
Comment:
    Dürr Group</t>
      </text>
    </comment>
    <comment ref="H27" authorId="5" shapeId="0" xr:uid="{C37A4B4C-26B1-2B45-A53F-E3A16B8E075C}">
      <text>
        <t>[Threaded comment]
Your version of Excel allows you to read this threaded comment; however, any edits to it will get removed if the file is opened in a newer version of Excel. Learn more: https://go.microsoft.com/fwlink/?linkid=870924
Comment:
    Thüga Holding</t>
      </text>
    </comment>
    <comment ref="P42" authorId="6" shapeId="0" xr:uid="{6C2911F0-9968-A145-8C01-517FE9B73C45}">
      <text>
        <t>[Threaded comment]
Your version of Excel allows you to read this threaded comment; however, any edits to it will get removed if the file is opened in a newer version of Excel. Learn more: https://go.microsoft.com/fwlink/?linkid=870924
Comment:
    Thüga Holding</t>
      </text>
    </comment>
    <comment ref="T43" authorId="7" shapeId="0" xr:uid="{010DABF1-870B-8945-AF49-33DDF32A1464}">
      <text>
        <t>[Threaded comment]
Your version of Excel allows you to read this threaded comment; however, any edits to it will get removed if the file is opened in a newer version of Excel. Learn more: https://go.microsoft.com/fwlink/?linkid=870924
Comment:
    Thüga Holding</t>
      </text>
    </comment>
    <comment ref="A45" authorId="8" shapeId="0" xr:uid="{E1E29CE4-74DE-0041-98CB-52330035F1F8}">
      <text>
        <t>[Threaded comment]
Your version of Excel allows you to read this threaded comment; however, any edits to it will get removed if the file is opened in a newer version of Excel. Learn more: https://go.microsoft.com/fwlink/?linkid=870924
Comment:
    Thüga Holding</t>
      </text>
    </comment>
    <comment ref="L49" authorId="9" shapeId="0" xr:uid="{DC6BE709-02AB-6B42-BD52-6D1230BD60C8}">
      <text>
        <t>[Threaded comment]
Your version of Excel allows you to read this threaded comment; however, any edits to it will get removed if the file is opened in a newer version of Excel. Learn more: https://go.microsoft.com/fwlink/?linkid=870924
Comment:
    Thüga Holding</t>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tc={EAFD1941-9C66-454A-B14D-CAFDB48B383D}</author>
  </authors>
  <commentList>
    <comment ref="C6" authorId="0" shapeId="0" xr:uid="{EAFD1941-9C66-454A-B14D-CAFDB48B383D}">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tc={348E7BD9-9391-F842-BCB9-707AC33E63D7}</author>
  </authors>
  <commentList>
    <comment ref="C6" authorId="0" shapeId="0" xr:uid="{348E7BD9-9391-F842-BCB9-707AC33E63D7}">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tc={18AE7F51-0179-7D4F-B92C-B1548BD3BDDC}</author>
  </authors>
  <commentList>
    <comment ref="C6" authorId="0" shapeId="0" xr:uid="{18AE7F51-0179-7D4F-B92C-B1548BD3BDDC}">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tc={D63FE7A7-4FD6-2A4D-9540-1457E0DBA6CD}</author>
  </authors>
  <commentList>
    <comment ref="C6" authorId="0" shapeId="0" xr:uid="{D63FE7A7-4FD6-2A4D-9540-1457E0DBA6CD}">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tc={C5D0ED38-44D5-EB49-A643-7B0F54BF725E}</author>
  </authors>
  <commentList>
    <comment ref="C6" authorId="0" shapeId="0" xr:uid="{C5D0ED38-44D5-EB49-A643-7B0F54BF725E}">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tc={B14C37E1-974A-7447-833C-3F3D8869BB85}</author>
  </authors>
  <commentList>
    <comment ref="C6" authorId="0" shapeId="0" xr:uid="{B14C37E1-974A-7447-833C-3F3D8869BB8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tc={09DCA0CF-F13B-D04B-81A4-BE53733A4755}</author>
  </authors>
  <commentList>
    <comment ref="C6" authorId="0" shapeId="0" xr:uid="{09DCA0CF-F13B-D04B-81A4-BE53733A475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tc={4802DFF6-4070-BB4A-B441-5A3A0AB6CBA1}</author>
  </authors>
  <commentList>
    <comment ref="C6" authorId="0" shapeId="0" xr:uid="{4802DFF6-4070-BB4A-B441-5A3A0AB6CBA1}">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tc={7E8F20B8-D823-7540-822A-59AB796BE0F6}</author>
  </authors>
  <commentList>
    <comment ref="C6" authorId="0" shapeId="0" xr:uid="{7E8F20B8-D823-7540-822A-59AB796BE0F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tc={31F2E7F8-5341-C94E-B600-AAF6517259C5}</author>
  </authors>
  <commentList>
    <comment ref="C6" authorId="0" shapeId="0" xr:uid="{31F2E7F8-5341-C94E-B600-AAF6517259C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tc={11EE506B-6620-3C4F-833B-A3C5A1B3DC4A}</author>
    <author>tc={B8B5E8D5-D8D5-0B40-8693-C9A13E77F93A}</author>
  </authors>
  <commentList>
    <comment ref="A39" authorId="0" shapeId="0" xr:uid="{11EE506B-6620-3C4F-833B-A3C5A1B3DC4A}">
      <text>
        <t>[Threaded comment]
Your version of Excel allows you to read this threaded comment; however, any edits to it will get removed if the file is opened in a newer version of Excel. Learn more: https://go.microsoft.com/fwlink/?linkid=870924
Comment:
    Dürr Group</t>
      </text>
    </comment>
    <comment ref="A73" authorId="1" shapeId="0" xr:uid="{B8B5E8D5-D8D5-0B40-8693-C9A13E77F93A}">
      <text>
        <t>[Threaded comment]
Your version of Excel allows you to read this threaded comment; however, any edits to it will get removed if the file is opened in a newer version of Excel. Learn more: https://go.microsoft.com/fwlink/?linkid=870924
Comment:
    Thüga Holding</t>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tc={A53A1488-55CC-A544-A925-39E3356DAB56}</author>
  </authors>
  <commentList>
    <comment ref="C6" authorId="0" shapeId="0" xr:uid="{A53A1488-55CC-A544-A925-39E3356DAB5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tc={957361A5-D6BF-1246-AD5D-82196E7ABDD9}</author>
  </authors>
  <commentList>
    <comment ref="C6" authorId="0" shapeId="0" xr:uid="{957361A5-D6BF-1246-AD5D-82196E7ABDD9}">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tc={A67C9060-9CA5-3F41-8B4B-7796D3C46D83}</author>
  </authors>
  <commentList>
    <comment ref="C6" authorId="0" shapeId="0" xr:uid="{A67C9060-9CA5-3F41-8B4B-7796D3C46D83}">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tc={462EB1EC-78BD-E247-B196-FC39DA4505F5}</author>
  </authors>
  <commentList>
    <comment ref="C6" authorId="0" shapeId="0" xr:uid="{462EB1EC-78BD-E247-B196-FC39DA4505F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tc={E4911E35-FDEB-6640-B82E-C8CB38D21A05}</author>
  </authors>
  <commentList>
    <comment ref="C6" authorId="0" shapeId="0" xr:uid="{E4911E35-FDEB-6640-B82E-C8CB38D21A0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tc={5ACED0B4-D1D7-B941-B7D3-F91F6B04FC00}</author>
  </authors>
  <commentList>
    <comment ref="C6" authorId="0" shapeId="0" xr:uid="{5ACED0B4-D1D7-B941-B7D3-F91F6B04FC00}">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tc={2E5B431A-EE72-0C4B-8240-4DAC35205108}</author>
  </authors>
  <commentList>
    <comment ref="C6" authorId="0" shapeId="0" xr:uid="{2E5B431A-EE72-0C4B-8240-4DAC35205108}">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tc={FE6D78FA-E856-BE4C-9F46-6F1C27750488}</author>
  </authors>
  <commentList>
    <comment ref="C6" authorId="0" shapeId="0" xr:uid="{FE6D78FA-E856-BE4C-9F46-6F1C27750488}">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tc={94AF4987-F7D8-5643-81D4-6EF04641C427}</author>
  </authors>
  <commentList>
    <comment ref="C6" authorId="0" shapeId="0" xr:uid="{94AF4987-F7D8-5643-81D4-6EF04641C427}">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tc={E120897B-CCF9-A84F-9ECB-989F9569A87C}</author>
  </authors>
  <commentList>
    <comment ref="C6" authorId="0" shapeId="0" xr:uid="{E120897B-CCF9-A84F-9ECB-989F9569A87C}">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tc={0604B075-8D72-9949-A78C-01160F04D516}</author>
  </authors>
  <commentList>
    <comment ref="C6" authorId="0" shapeId="0" xr:uid="{0604B075-8D72-9949-A78C-01160F04D51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tc={9BA23EB7-2947-054F-A46D-88B7FD4656F1}</author>
  </authors>
  <commentList>
    <comment ref="C6" authorId="0" shapeId="0" xr:uid="{9BA23EB7-2947-054F-A46D-88B7FD4656F1}">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tc={2CB99E0A-FB33-7A4D-8AF2-7CB0FDF59850}</author>
  </authors>
  <commentList>
    <comment ref="C6" authorId="0" shapeId="0" xr:uid="{2CB99E0A-FB33-7A4D-8AF2-7CB0FDF59850}">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tc={7625BC6C-0184-6E42-819D-159355296CFB}</author>
  </authors>
  <commentList>
    <comment ref="C6" authorId="0" shapeId="0" xr:uid="{7625BC6C-0184-6E42-819D-159355296CFB}">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tc={08564A3A-67CD-D142-8AE5-15539946D796}</author>
  </authors>
  <commentList>
    <comment ref="C6" authorId="0" shapeId="0" xr:uid="{08564A3A-67CD-D142-8AE5-15539946D79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tc={5F3BE126-EF60-4E42-BD07-A05C5221ED1A}</author>
  </authors>
  <commentList>
    <comment ref="C6" authorId="0" shapeId="0" xr:uid="{5F3BE126-EF60-4E42-BD07-A05C5221ED1A}">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tc={60EF7096-E63E-D74D-A6D0-371F2AA88B1A}</author>
  </authors>
  <commentList>
    <comment ref="C6" authorId="0" shapeId="0" xr:uid="{60EF7096-E63E-D74D-A6D0-371F2AA88B1A}">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tc={217A9860-B29B-524E-AE98-D622A3AD2430}</author>
  </authors>
  <commentList>
    <comment ref="C6" authorId="0" shapeId="0" xr:uid="{217A9860-B29B-524E-AE98-D622A3AD2430}">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tc={7EF3A09A-5FC9-034B-BB3F-9FBC4B400C7D}</author>
  </authors>
  <commentList>
    <comment ref="C6" authorId="0" shapeId="0" xr:uid="{7EF3A09A-5FC9-034B-BB3F-9FBC4B400C7D}">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tc={4B27C695-5F44-C24C-9D22-ABF02B7E6906}</author>
  </authors>
  <commentList>
    <comment ref="C6" authorId="0" shapeId="0" xr:uid="{4B27C695-5F44-C24C-9D22-ABF02B7E690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tc={F8DE2CBC-8785-ED43-AF6F-34A94BABA649}</author>
  </authors>
  <commentList>
    <comment ref="C6" authorId="0" shapeId="0" xr:uid="{F8DE2CBC-8785-ED43-AF6F-34A94BABA649}">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tc={CD3AEE28-8032-304E-B8B9-D80449A6D6B4}</author>
  </authors>
  <commentList>
    <comment ref="C6" authorId="0" shapeId="0" xr:uid="{CD3AEE28-8032-304E-B8B9-D80449A6D6B4}">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tc={F4DB20E1-9B31-3846-BB67-513E56582102}</author>
  </authors>
  <commentList>
    <comment ref="C6" authorId="0" shapeId="0" xr:uid="{F4DB20E1-9B31-3846-BB67-513E56582102}">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tc={ACE9598A-07E8-D641-9101-B205D187EC78}</author>
  </authors>
  <commentList>
    <comment ref="C6" authorId="0" shapeId="0" xr:uid="{ACE9598A-07E8-D641-9101-B205D187EC78}">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tc={E50B13CC-80DC-D54F-836D-E5D1C0488E76}</author>
  </authors>
  <commentList>
    <comment ref="C6" authorId="0" shapeId="0" xr:uid="{E50B13CC-80DC-D54F-836D-E5D1C0488E76}">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tc={A9B30058-0002-204F-A534-3668413CBBA5}</author>
  </authors>
  <commentList>
    <comment ref="C6" authorId="0" shapeId="0" xr:uid="{A9B30058-0002-204F-A534-3668413CBBA5}">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tc={86ABA798-7E00-7142-AB0E-B9EAF8F2704F}</author>
  </authors>
  <commentList>
    <comment ref="C6" authorId="0" shapeId="0" xr:uid="{86ABA798-7E00-7142-AB0E-B9EAF8F2704F}">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tc={1863AE3D-65A0-224D-84BE-AA63BD0D7E0D}</author>
  </authors>
  <commentList>
    <comment ref="C6" authorId="0" shapeId="0" xr:uid="{1863AE3D-65A0-224D-84BE-AA63BD0D7E0D}">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tc={46B4CD74-4FA8-5441-878D-4A7FE2F0A44E}</author>
  </authors>
  <commentList>
    <comment ref="C6" authorId="0" shapeId="0" xr:uid="{46B4CD74-4FA8-5441-878D-4A7FE2F0A44E}">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tc={F613EDF7-11BD-404A-AF18-548485B09CD8}</author>
  </authors>
  <commentList>
    <comment ref="C6" authorId="0" shapeId="0" xr:uid="{F613EDF7-11BD-404A-AF18-548485B09CD8}">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tc={37C2ECC0-ACC3-3743-AD24-35586C6D532F}</author>
  </authors>
  <commentList>
    <comment ref="C6" authorId="0" shapeId="0" xr:uid="{37C2ECC0-ACC3-3743-AD24-35586C6D532F}">
      <text>
        <t>[Threaded comment]
Your version of Excel allows you to read this threaded comment; however, any edits to it will get removed if the file is opened in a newer version of Excel. Learn more: https://go.microsoft.com/fwlink/?linkid=870924
Comment:
    10 points: Any combination of answers that includes Inline XBRL
8 points: Any combination of answers that includes PDF (text based) OR Web HTML page, AND Standalone XBRL
6 points: PDF (text based) OR Web HTML page, AND Spreadsheet 
5 points: PDF (text based) AND Web HTML page
4 points: PDF (text based) OR Web HTML page OR Spreadsheet 
1 point: ONLY PDF (image only) 
0 points: No report available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<sst xmlns="http://schemas.openxmlformats.org/spreadsheetml/2006/main" count="8873" uniqueCount="1700">
  <si>
    <t># Wikirate.org, licensed under CC BY 4.0 (https://creativecommons.org/licenses/by/4.0). See https://wikirate.org/Attribution_Guide.</t>
  </si>
  <si>
    <t>#</t>
  </si>
  <si>
    <t>Answer Page</t>
  </si>
  <si>
    <t>Metric</t>
  </si>
  <si>
    <t>Company</t>
  </si>
  <si>
    <t>Year</t>
  </si>
  <si>
    <t>Value</t>
  </si>
  <si>
    <t>Source Page</t>
  </si>
  <si>
    <t>Answer ID</t>
  </si>
  <si>
    <t>Original Source</t>
  </si>
  <si>
    <t>Source Count</t>
  </si>
  <si>
    <t>Comments</t>
  </si>
  <si>
    <t>https://wikirate.org/~22219331</t>
  </si>
  <si>
    <t>Wikirate International e.V.+Supplier audits</t>
  </si>
  <si>
    <t>RWE Group</t>
  </si>
  <si>
    <t>Yes</t>
  </si>
  <si>
    <t>https://wikirate.org/~21476104</t>
  </si>
  <si>
    <t>https://www.rwe.com/-/media/RWE/documents/05-investor-relations/finanzkalendar-und-veroeffentlichungen/2024-gj/2025-03-20-rwe-annual-report-2024.pdf</t>
  </si>
  <si>
    <t>P89: "RWE has based the process of identifying actual and potential impacts, risks and opportunities related to sustainability matters on a ‚Äòtop-down‚Äô approach, using the list of topics in ESRS 1, AR 16. This list was complemented by a sector assessment, an earlier materiality assessment performed by RWE, and a review of existing processes including strategy planning and employee surveys as well as various due diligence mechanisms such as risk management, grievance mechanisms, incident management, supplier audits, as well as financial and non-financial reporting." Marc McGowan[https://wikirate.org/Marc_McGowan].....2025-08-15 13:10:40 UTC</t>
  </si>
  <si>
    <t>https://wikirate.org/~22250819</t>
  </si>
  <si>
    <t>Th√ºga Holding</t>
  </si>
  <si>
    <t>No</t>
  </si>
  <si>
    <t>https://wikirate.org/~21496913</t>
  </si>
  <si>
    <t>https://wikirate.org/~22249961</t>
  </si>
  <si>
    <t>Wacker Chemie</t>
  </si>
  <si>
    <t>https://wikirate.org/~21496047</t>
  </si>
  <si>
    <t>https://reports.wacker.com/2024/annual-report/_assets/downloads/entire-wacker-ar24.pdf</t>
  </si>
  <si>
    <t>p329 Thomas Howie[https://wikirate.org/Thomas_Howie].....2025-08-27 11:45:13 UTC p. 200 "Based on the findings of supplier audits (sector analyses, surveys, expert opinions), we consider occupational safety to be particularly relevant to workers of our direct suppliers in production operations." p.202 "The remedies are intended to ensure that any suspicion of human rights violations are reported and uncovered in good time. We use talks or repeat audits with the respective suppliers to monitor their progress and status. Results and remedies are documented and tracked in an internal WACKER dashboard." ...and many other examples Aureliane[https://wikirate.org/Aureliane].....2025-09-01 10:27:59 UTC</t>
  </si>
  <si>
    <t>https://wikirate.org/~22247846</t>
  </si>
  <si>
    <t>Gelsenwasser</t>
  </si>
  <si>
    <t>https://wikirate.org/~22247752</t>
  </si>
  <si>
    <t>p. 123 I believe they are starting to integrate sustainability assessments into their supply chain management, but audits are not mentioned specifically. Laureen van Breen[https://wikirate.org/Laureen_van_Breen].....2025-08-21 10:06:39 UTC</t>
  </si>
  <si>
    <t>https://wikirate.org/~22247414</t>
  </si>
  <si>
    <t>Leonardo</t>
  </si>
  <si>
    <t>https://wikirate.org/~21495999</t>
  </si>
  <si>
    <t>https://www.leonardo.com/documents/15646808/28608810/2024+Integrated+Annual+Report.pdf?t=1741973243807</t>
  </si>
  <si>
    <t>p158 "As for supplier audits on HSE issues, every year Leonardo sets out an audit plan and selects the suppliers that will have to be audited in the subsequent year. The audit consists of checks carried out by Leonardo personnel or by a third-party entity and is also an opportunity to inform the supplier of any possible opportunity for improvement. In any case of non-conformity, Leonardo always asks the supplier to take a corrective action, reported by the supplier in an Action Plan, complete with the related date of implementation, which is verified by Leonardo in the subsequent audit." Thomas Howie[https://wikirate.org/Thomas_Howie].....2025-08-20 14:24:25 UTC</t>
  </si>
  <si>
    <t>https://wikirate.org/~22247136</t>
  </si>
  <si>
    <t>Lockheed Martin</t>
  </si>
  <si>
    <t>https://wikirate.org/~21495942</t>
  </si>
  <si>
    <t>They talk about achieving a "supplier sustainability assessment" by 2025 but don't explain what it means Thomas Howie[https://wikirate.org/Thomas_Howie].....2025-08-20 10:08:26 UTC</t>
  </si>
  <si>
    <t>https://wikirate.org/~22247055</t>
  </si>
  <si>
    <t>KNDS Group</t>
  </si>
  <si>
    <t>https://wikirate.org/~22246961</t>
  </si>
  <si>
    <t>https://wikirate.org/~22246951</t>
  </si>
  <si>
    <t>Evonik</t>
  </si>
  <si>
    <t>https://wikirate.org/~21495936</t>
  </si>
  <si>
    <t>p. 205 Laureen van Breen[https://wikirate.org/Laureen_van_Breen].....2025-08-20 09:23:52 UTC p. 205 "Based on the findings, specific improvement measures are initiated as required (see chart C73 ‚ÄúAudit escalation process‚Äù p. 204). To minimize risks in connection with our management of contractors, we obtain and evaluate evidence and self-assessments on compliance with the relevant German legislation (the German Minimum Wage Act, the German Employee Secondment Act, and the GermanOrdinance on Craftsmen). We have a clear-cut, structured process for supplier audits, including various escalation steps. Wherever shortcomings are identified, we expect our suppliers to implement corrective action plans within a defined timeframe. These actions are tracked using a software solution. If the shortcomings are particularly serious and no improvement can be ascertained, we reserve the right to terminate our collaboration with the supplier." Lucia Ixtacuy[https://wikirate.org/Lucia_Ixtacuy].....2025-09-11 11:53:37 UTC</t>
  </si>
  <si>
    <t>https://wikirate.org/~22246810</t>
  </si>
  <si>
    <t>Merck KGaA</t>
  </si>
  <si>
    <t>https://wikirate.org/~21495993</t>
  </si>
  <si>
    <t>"In addition, we ask our suppliers to have assessments or audits carried out by us or by trusted partner companies and have also integrated this requirement into contracts. " (p. 246) Laureen van Breen[https://wikirate.org/Laureen_van_Breen].....2025-08-20 08:18:51 UTC</t>
  </si>
  <si>
    <t>https://wikirate.org/~22246674</t>
  </si>
  <si>
    <t>Diehl Stiftung &amp; Co. KG</t>
  </si>
  <si>
    <t>https://wikirate.org/~22246595</t>
  </si>
  <si>
    <t>In the event of violations of the Supplier Code of Conduct, remedial measures will be demanded immediately and audits carried out where necessary. (p. 68) Laureen van Breen[https://wikirate.org/Laureen_van_Breen].....2025-08-19 20:23:24 UTC</t>
  </si>
  <si>
    <t>https://wikirate.org/~22246470</t>
  </si>
  <si>
    <t>E.ON SE</t>
  </si>
  <si>
    <t>https://wikirate.org/~21484751</t>
  </si>
  <si>
    <t>p74 "Depending on the transaction volume and HSE risk, suppliers must complete additional steps, such as answering one or more questionnaires or completing a supplier audit to check whether the supplier complies with E.ON‚Äôs standards for human rights, working conditions, and environmental protection." Thomas Howie[https://wikirate.org/Thomas_Howie].....2025-08-19 12:48:01 UTC</t>
  </si>
  <si>
    <t>https://wikirate.org/~22246437</t>
  </si>
  <si>
    <t>Stadtwerke Munchen GmbH</t>
  </si>
  <si>
    <t>https://wikirate.org/~22246336</t>
  </si>
  <si>
    <t>p. 15 Laureen van Breen[https://wikirate.org/Laureen_van_Breen].....2025-08-19 12:40:48 UTC</t>
  </si>
  <si>
    <t>https://wikirate.org/~22246353</t>
  </si>
  <si>
    <t>KION Group</t>
  </si>
  <si>
    <t>https://wikirate.org/~21496654</t>
  </si>
  <si>
    <t>https://wikirate.org/~22246142</t>
  </si>
  <si>
    <t>50Hertz Transmission</t>
  </si>
  <si>
    <t>https://wikirate.org/~21496925</t>
  </si>
  <si>
    <t>https://wikirate.org/~22246061</t>
  </si>
  <si>
    <t>Siemens Energy AG</t>
  </si>
  <si>
    <t>https://wikirate.org/~21496678</t>
  </si>
  <si>
    <t>https://wikirate.org/~22245921</t>
  </si>
  <si>
    <t>Airbus Group</t>
  </si>
  <si>
    <t>https://wikirate.org/~21476193</t>
  </si>
  <si>
    <t>https://www.airbus.com/sites/g/files/jlcbta136/files/2025-04/Airbus%20Annual%20Report%202024.pdf</t>
  </si>
  <si>
    <t>P203: " The Company employs stringent quality control processes during production to ensure that all components and systems meet safety standards. This includes regular inspections, testing, also in compliance with international aviation regulation requirements. This involves rigorous supplier audits and certifications." Marc McGowan[https://wikirate.org/Marc_McGowan].....2025-08-18 13:07:48 UTC</t>
  </si>
  <si>
    <t>https://wikirate.org/~22219909</t>
  </si>
  <si>
    <t>Rheinmetall AG</t>
  </si>
  <si>
    <t>https://wikirate.org/~22219494</t>
  </si>
  <si>
    <t>P94: Formats of dialog: "Dialog with suppliers, supplier conferences, supplier development, supplier audits and supplier surveys" Marc McGowan[https://wikirate.org/Marc_McGowan].....2025-08-15 15:17:15 UTC</t>
  </si>
  <si>
    <t>https://wikirate.org/~22219903</t>
  </si>
  <si>
    <t>Uniper SE</t>
  </si>
  <si>
    <t>https://wikirate.org/~21779953</t>
  </si>
  <si>
    <t>p256 (p260 in PDF viewer) "In conducting our limited assurance engagement, we have, amongst other things: [...] performed site visits" Thomas Howie[https://wikirate.org/Thomas_Howie].....2025-08-15 15:15:51 UTC p. 114 ". On-site assessments of coal suppliers conducted through the Bettercoal program also provide a direct understanding of the interests, views and expectations of workers in the value chain, where applicable. These insights are incorporated into Uniper‚Äôs materiality assessment, ESG due diligence review and risk management and provide information about the collaboration with business partners for Uniper‚Äôs strategy and business model. " Lucia Ixtacuy[https://wikirate.org/Lucia_Ixtacuy].....2025-08-21 15:54:47 UTC</t>
  </si>
  <si>
    <t>https://wikirate.org/~22219239</t>
  </si>
  <si>
    <t>Bayer AG</t>
  </si>
  <si>
    <t>https://wikirate.org/~21484702</t>
  </si>
  <si>
    <t>P202: "Grievance management (Speak Up Channel) and supplier audits are available to us as a primary means of identifying corrective and remedial measures." Marc McGowan[https://wikirate.org/Marc_McGowan].....2025-08-15 11:44:37 UTC</t>
  </si>
  <si>
    <t>https://wikirate.org/~21483491</t>
  </si>
  <si>
    <t>Wikirate International e.V.+Report discoverability</t>
  </si>
  <si>
    <t>BMW AG</t>
  </si>
  <si>
    <t>Own website, Central database</t>
  </si>
  <si>
    <t>https://wikirate.org/~22170515</t>
  </si>
  <si>
    <t>https://wikirate.org/~21484322</t>
  </si>
  <si>
    <t>Own website</t>
  </si>
  <si>
    <t>https://wikirate.org/~21781819</t>
  </si>
  <si>
    <t>https://www.airbus.com/sites/g/files/jlcbta136/files/2025-04/Airbus%20Annual%20Report%202024.pdf Katharina Linn[https://wikirate.org/Katharina_Linn].....2025-06-05 13:16:06 UTC</t>
  </si>
  <si>
    <t>https://wikirate.org/~21484601</t>
  </si>
  <si>
    <t>https://wikirate.org/~22219278</t>
  </si>
  <si>
    <t>https://wikirate.org/~21484651</t>
  </si>
  <si>
    <t>Mercedes-Benz AG</t>
  </si>
  <si>
    <t>https://wikirate.org/~22197857</t>
  </si>
  <si>
    <t>Also found entries in a couple databases Laureen van Breen[https://wikirate.org/Laureen_van_Breen].....2025-09-01 13:14:46 UTC</t>
  </si>
  <si>
    <t>https://wikirate.org/~21484711</t>
  </si>
  <si>
    <t>https://wikirate.org/~22166877</t>
  </si>
  <si>
    <t>https://wikirate.org/~21484772</t>
  </si>
  <si>
    <t>BASF SE</t>
  </si>
  <si>
    <t>https://wikirate.org/~22206688</t>
  </si>
  <si>
    <t>Google Search Niclas Kautz[https://wikirate.org/Niclas_Kautz].....2025-06-06 09:43:20 UTC</t>
  </si>
  <si>
    <t>https://wikirate.org/~21485264</t>
  </si>
  <si>
    <t>Volkswagen AG</t>
  </si>
  <si>
    <t>https://wikirate.org/~22197759</t>
  </si>
  <si>
    <t>https://wikirate.org/~21486490</t>
  </si>
  <si>
    <t>https://wikirate.org/~21781930</t>
  </si>
  <si>
    <t>Also here: https://www.annualreports.com/Company/eon-ag Aureliane[https://wikirate.org/Aureliane].....2025-08-29 15:01:24 UTC</t>
  </si>
  <si>
    <t>https://wikirate.org/~21487677</t>
  </si>
  <si>
    <t>Daimler Truck AG</t>
  </si>
  <si>
    <t>https://wikirate.org/~21476177</t>
  </si>
  <si>
    <t>https://www.daimlertruck.com/fileadmin/user_upload/documents/investors/reports/annual-reports/2024/daimler-truck-ir-annual-report-2024-incl-combined-management-report-dth-ag.pdf</t>
  </si>
  <si>
    <t>Also found on: https://insights.efrag.org/ Aureliane[https://wikirate.org/Aureliane].....2025-08-26 11:07:27 UTC</t>
  </si>
  <si>
    <t>https://wikirate.org/~21488094</t>
  </si>
  <si>
    <t>Jenoptik AG</t>
  </si>
  <si>
    <t>https://wikirate.org/~22205857</t>
  </si>
  <si>
    <t>https://wikirate.org/~22197655</t>
  </si>
  <si>
    <t>Continental AG</t>
  </si>
  <si>
    <t>https://wikirate.org/~22197642</t>
  </si>
  <si>
    <t>https://wikirate.org/~22206177</t>
  </si>
  <si>
    <t>ThyssenKrupp Group</t>
  </si>
  <si>
    <t>https://wikirate.org/~22206164</t>
  </si>
  <si>
    <t>https://wikirate.org/~22206387</t>
  </si>
  <si>
    <t>Helm AG</t>
  </si>
  <si>
    <t>https://wikirate.org/~22206380</t>
  </si>
  <si>
    <t>https://wikirate.org/~22206954</t>
  </si>
  <si>
    <t>GEA Group</t>
  </si>
  <si>
    <t>https://wikirate.org/~22206941</t>
  </si>
  <si>
    <t>https://wikirate.org/~22208537</t>
  </si>
  <si>
    <t>Robert Bosch GmbH</t>
  </si>
  <si>
    <t>https://wikirate.org/~22208530</t>
  </si>
  <si>
    <t>Annual Reports: https://www.annualreports.com/Company/bosch but only until 2023 Aureliane[https://wikirate.org/Aureliane].....2025-08-26 13:10:04 UTC</t>
  </si>
  <si>
    <t>https://wikirate.org/~22208650</t>
  </si>
  <si>
    <t>Mahle GmbH</t>
  </si>
  <si>
    <t>https://wikirate.org/~22208642</t>
  </si>
  <si>
    <t>https://wikirate.org/~22208871</t>
  </si>
  <si>
    <t>Voith</t>
  </si>
  <si>
    <t>https://wikirate.org/~22208863</t>
  </si>
  <si>
    <t>https://wikirate.org/~22209061</t>
  </si>
  <si>
    <t>Siemens AG</t>
  </si>
  <si>
    <t>https://wikirate.org/~22209054</t>
  </si>
  <si>
    <t>https://www.siemens.com/global/en/company/sustainability/reports-figures.html https://www.annualreports.com/Company/siemens-ag Lucia Ixtacuy[https://wikirate.org/Lucia_Ixtacuy].....2025-08-11 12:30:21 UTC</t>
  </si>
  <si>
    <t>https://wikirate.org/~22209219</t>
  </si>
  <si>
    <t>ZF Friedrichshafen</t>
  </si>
  <si>
    <t>https://wikirate.org/~22205874</t>
  </si>
  <si>
    <t>https://wikirate.org/~22209339</t>
  </si>
  <si>
    <t>Jungheinrich AG</t>
  </si>
  <si>
    <t>https://wikirate.org/~22209332</t>
  </si>
  <si>
    <t>Alos on https://www.annualreports.com/ Thomas Howie[https://wikirate.org/Thomas_Howie].....2025-08-11 14:17:59 UTC</t>
  </si>
  <si>
    <t>https://wikirate.org/~22209400</t>
  </si>
  <si>
    <t>https://wikirate.org/~22209205</t>
  </si>
  <si>
    <t>https://www.schaeffler.com/en/group/sustainability/ Lucia Ixtacuy[https://wikirate.org/Lucia_Ixtacuy].....2025-08-11 14:35:37 UTC</t>
  </si>
  <si>
    <t>https://wikirate.org/~22210671</t>
  </si>
  <si>
    <t>https://wikirate.org/~22210664</t>
  </si>
  <si>
    <t>https://wikirate.org/~22211002</t>
  </si>
  <si>
    <t>Covestro</t>
  </si>
  <si>
    <t>https://wikirate.org/~22210995</t>
  </si>
  <si>
    <t>also on: https://www.annualreports.com/Company/covestro-ag Aureliane[https://wikirate.org/Aureliane].....2025-08-29 13:02:29 UTC</t>
  </si>
  <si>
    <t>https://wikirate.org/~22211472</t>
  </si>
  <si>
    <t>Krones AG</t>
  </si>
  <si>
    <t>https://wikirate.org/~22211457</t>
  </si>
  <si>
    <t>https://www.krones.com/en/company/investor-relations/reports.php Yohann[https://wikirate.org/Yohann].....2025-08-13 15:16:06 UTC Also found here: https://www.annualreports.com/Company/krones Aureliane[https://wikirate.org/Aureliane].....2025-08-26 14:38:00 UTC</t>
  </si>
  <si>
    <t>https://wikirate.org/~22211657</t>
  </si>
  <si>
    <t>Henkel AG &amp; Co. KGaA</t>
  </si>
  <si>
    <t>https://wikirate.org/~22211689</t>
  </si>
  <si>
    <t>https://www.henkel.com/sustainability/sustainability-report</t>
  </si>
  <si>
    <t>https://www.annualreports.com/Company/henkel https://www.henkel.com/investors-and-analysts/financial-reports/annual-reports Yohann[https://wikirate.org/Yohann].....2025-08-13 16:01:25 UTC In the case of Henkel the Non-Financial report is not part of the Annual Report which primarily focuses on financial performance. Yohann[https://wikirate.org/Yohann].....2025-08-13 16:15:25 UTC https://www.henkel.com/sustainability/sustainability-report Yohann[https://wikirate.org/Yohann].....2025-08-13 16:15:41 UTC https://www.annualreports.com/Company/henkel only shows the annual rpeort which does not contain sustainability data Aureliane[https://wikirate.org/Aureliane].....2025-08-27 11:11:50 UTC</t>
  </si>
  <si>
    <t>https://wikirate.org/~22218129</t>
  </si>
  <si>
    <t>EnBW-Energie Baden-Wuerttemberg</t>
  </si>
  <si>
    <t>https://wikirate.org/~22218120</t>
  </si>
  <si>
    <t>https://www.enbw.com/annual-report-2024/</t>
  </si>
  <si>
    <t>https://www.enbw.com/annual-report-2024/ Yohann[https://wikirate.org/Yohann].....2025-08-14 10:22:35 UTC</t>
  </si>
  <si>
    <t>https://wikirate.org/~22218233</t>
  </si>
  <si>
    <t>Amprion GmbH</t>
  </si>
  <si>
    <t>https://wikirate.org/~22218968</t>
  </si>
  <si>
    <t>https://www.amprion.net/Amprion/Sustainability/Downloads/</t>
  </si>
  <si>
    <t>https://www.hella.com/en/Investor-Relations/Publications-266/?presstype=ar Yohann[https://wikirate.org/Yohann].....2025-08-14 11:22:49 UTC https://www.amprion.net/Amprion/Sustainability/Downloads/. Link before is for another company Yohann[https://wikirate.org/Yohann].....2025-08-14 19:21:59 UTC</t>
  </si>
  <si>
    <t>https://wikirate.org/~22218306</t>
  </si>
  <si>
    <t>HELLA GMBH &amp; CO. KGAA</t>
  </si>
  <si>
    <t>https://wikirate.org/~22218223</t>
  </si>
  <si>
    <t>https://www.hella.com/en/Investor-Relations/Publications-266/?presstype=ar</t>
  </si>
  <si>
    <t>https://wikirate.org/~22218594</t>
  </si>
  <si>
    <t>D√ºrr Group</t>
  </si>
  <si>
    <t>https://wikirate.org/~22218585</t>
  </si>
  <si>
    <t>https://wikirate.org/~22218738</t>
  </si>
  <si>
    <t>Lanxess</t>
  </si>
  <si>
    <t>https://wikirate.org/~22218731</t>
  </si>
  <si>
    <t>https://wikirate.org/~22218880</t>
  </si>
  <si>
    <t>Deere &amp; Co</t>
  </si>
  <si>
    <t>https://wikirate.org/~22218873</t>
  </si>
  <si>
    <t>https://investor.deere.com/Sustainability-Reports/default.aspx Annual report also available on SEC but doesn't contain sustainability data in it Yohann[https://wikirate.org/Yohann].....2025-08-14 16:41:50 UTC</t>
  </si>
  <si>
    <t>https://wikirate.org/~22219083</t>
  </si>
  <si>
    <t>Boehringer Ingelheim GmbH</t>
  </si>
  <si>
    <t>https://wikirate.org/~22219066</t>
  </si>
  <si>
    <t>https://www.annualreports.com/Company/boehringer-ingelheim</t>
  </si>
  <si>
    <t>https://www.annualreports.com/Company/boehringer-ingelheim https://www.boehringer-ingelheim.com/annualreport/2024/ at the bottom Yohann[https://wikirate.org/Yohann].....2025-08-15 10:42:04 UTC</t>
  </si>
  <si>
    <t>https://wikirate.org/~22219183</t>
  </si>
  <si>
    <t>https://wikirate.org/~22219175</t>
  </si>
  <si>
    <t>https://wikirate.org/~22219199</t>
  </si>
  <si>
    <t>Hensoldt AG</t>
  </si>
  <si>
    <t>https://wikirate.org/~22219192</t>
  </si>
  <si>
    <t>https://investors.hensoldt.net/publications Lucia Ixtacuy[https://wikirate.org/Lucia_Ixtacuy].....2025-08-15 11:26:18 UTC</t>
  </si>
  <si>
    <t>https://wikirate.org/~22219264</t>
  </si>
  <si>
    <t>https://wikirate.org/~22219257</t>
  </si>
  <si>
    <t>https://wikirate.org/~22219460</t>
  </si>
  <si>
    <t>https://wikirate.org/~22219449</t>
  </si>
  <si>
    <t>https://wikirate.org/~22219668</t>
  </si>
  <si>
    <t>https://wikirate.org/~22219657</t>
  </si>
  <si>
    <t>On AnnualReports.com[http://AnnualReports.com] Thomas Howie[https://wikirate.org/Thomas_Howie].....2025-08-15 14:41:10 UTC</t>
  </si>
  <si>
    <t>https://wikirate.org/~22246077</t>
  </si>
  <si>
    <t>https://wikirate.org/~22246067</t>
  </si>
  <si>
    <t>https://www.50hertz.com/Media/Medialibrary</t>
  </si>
  <si>
    <t>https://www.50hertz.com/Media/Medialibrary Yohann[https://wikirate.org/Yohann].....2025-08-19 09:26:56 UTC</t>
  </si>
  <si>
    <t>https://wikirate.org/~22246493</t>
  </si>
  <si>
    <t>https://wikirate.org/~22246486</t>
  </si>
  <si>
    <t>https://wikirate.org/~22246581</t>
  </si>
  <si>
    <t>https://wikirate.org/~22246574</t>
  </si>
  <si>
    <t>https://wikirate.org/~22246720</t>
  </si>
  <si>
    <t>https://wikirate.org/~22246712</t>
  </si>
  <si>
    <t>Found an entry in the Annual Reports database, but this was for a different (I believe USA) entity of Merck: https://www.annualreports.com/Company/merck-co-inc Laureen van Breen[https://wikirate.org/Laureen_van_Breen].....2025-08-20 06:49:36 UTC</t>
  </si>
  <si>
    <t>https://wikirate.org/~22246823</t>
  </si>
  <si>
    <t>https://wikirate.org/~22246815</t>
  </si>
  <si>
    <t>https://wikirate.org/~22246969</t>
  </si>
  <si>
    <t>Nowhere</t>
  </si>
  <si>
    <t>https://wikirate.org/~22247148</t>
  </si>
  <si>
    <t>https://wikirate.org/~22247141</t>
  </si>
  <si>
    <t>https://wikirate.org/~22247748</t>
  </si>
  <si>
    <t>https://wikirate.org/~22247741</t>
  </si>
  <si>
    <t>https://wikirate.org/~22249859</t>
  </si>
  <si>
    <t>https://wikirate.org/~22249848</t>
  </si>
  <si>
    <t>On www.annualreports.com[http://www.annualreports.com] Thomas Howie[https://wikirate.org/Thomas_Howie].....2025-08-27 11:13:28 UTC</t>
  </si>
  <si>
    <t>https://wikirate.org/~22250717</t>
  </si>
  <si>
    <t>https://wikirate.org/~21483495</t>
  </si>
  <si>
    <t>Wikirate International e.V.+Report format</t>
  </si>
  <si>
    <t>PDF (text based), Web HTML page</t>
  </si>
  <si>
    <t>There is also an HTML version available on the company website. Laureen van Breen[https://wikirate.org/Laureen_van_Breen].....2025-07-31 09:13:53 UTC HTML version https://www.bmwgroup.com/en/report/2024/index.html Lucia Ixtacuy[https://wikirate.org/Lucia_Ixtacuy].....2025-08-25 19:49:30 UTC</t>
  </si>
  <si>
    <t>https://wikirate.org/~21484331</t>
  </si>
  <si>
    <t>PDF (text based)</t>
  </si>
  <si>
    <t>https://wikirate.org/~21484605</t>
  </si>
  <si>
    <t>https://wikirate.org/~21484680</t>
  </si>
  <si>
    <t>https://wikirate.org/~21476060</t>
  </si>
  <si>
    <t>https://group.mercedes-benz.com/documents/investors/reports/annual-report/mercedes-benz/mercedes-benz-annual-report-2024-incl-combined-management-report-mbg-ag.pdf</t>
  </si>
  <si>
    <t>https://wikirate.org/~21484875</t>
  </si>
  <si>
    <t>PDF (text based), Spreadsheet</t>
  </si>
  <si>
    <t>https://wikirate.org/~22206694</t>
  </si>
  <si>
    <t>https://wikirate.org/~21485270</t>
  </si>
  <si>
    <t>https://wikirate.org/~21476045</t>
  </si>
  <si>
    <t>https://annualreport2024.volkswagen-group.com/sustainability-report/annex-to-the-sustainability-report/esrs-index.html</t>
  </si>
  <si>
    <t>https://wikirate.org/~21486486</t>
  </si>
  <si>
    <t>https://wikirate.org/~21486494</t>
  </si>
  <si>
    <t>https://wikirate.org/~21487681</t>
  </si>
  <si>
    <t>https://wikirate.org/~21488098</t>
  </si>
  <si>
    <t>https://wikirate.org/~21475740</t>
  </si>
  <si>
    <t>https://wikirate.org/~22197667</t>
  </si>
  <si>
    <t>There is a shorter version of their report on their website, but because it does not include the full annual report content I did not select the Web HTML page answer option. Laureen van Breen[https://wikirate.org/Laureen_van_Breen].....2025-08-05 11:48:00 UTC</t>
  </si>
  <si>
    <t>https://wikirate.org/~22206183</t>
  </si>
  <si>
    <t>https://wikirate.org/~21495956</t>
  </si>
  <si>
    <t>https://www.thyssenkrupp.com/_binary/UCPthyssenkruppAG/83ec7a5e-b24a-449d-b3c9-9d7f13287a4a/thyssenkrupp-GB_2023-2024_EN_WEB.pdf</t>
  </si>
  <si>
    <t>https://wikirate.org/~22206392</t>
  </si>
  <si>
    <t>https://wikirate.org/~22195863</t>
  </si>
  <si>
    <t>https://wikirate.org/~22206422</t>
  </si>
  <si>
    <t>https://wikirate.org/~21495929</t>
  </si>
  <si>
    <t>https://wikirate.org/~22206961</t>
  </si>
  <si>
    <t>https://wikirate.org/~22208542</t>
  </si>
  <si>
    <t>https://wikirate.org/~21496007</t>
  </si>
  <si>
    <t>https://assets.bosch.com/media/global/sustainability/reporting_and_data/2024/bosch-sustainability-report-2024.pdf</t>
  </si>
  <si>
    <t>https://wikirate.org/~22208655</t>
  </si>
  <si>
    <t>https://wikirate.org/~21496672</t>
  </si>
  <si>
    <t>https://wikirate.org/~22208904</t>
  </si>
  <si>
    <t>https://wikirate.org/~21496697</t>
  </si>
  <si>
    <t>https://www.voith.com/corp-en/Voith_Sustainability_Report_2024.pdf</t>
  </si>
  <si>
    <t>https://wikirate.org/~22209197</t>
  </si>
  <si>
    <t>https://wikirate.org/~21496041</t>
  </si>
  <si>
    <t>https://wikirate.org/~22209224</t>
  </si>
  <si>
    <t>https://wikirate.org/~22205867</t>
  </si>
  <si>
    <t>https://wikirate.org/~22209345</t>
  </si>
  <si>
    <t>https://wikirate.org/~21496898</t>
  </si>
  <si>
    <t>https://wikirate.org/~22209456</t>
  </si>
  <si>
    <t>https://wikirate.org/~21495987</t>
  </si>
  <si>
    <t>https://wikirate.org/~22211007</t>
  </si>
  <si>
    <t>https://wikirate.org/~21506686</t>
  </si>
  <si>
    <t>https://annualreport.covestro.com/ecomaXL/files/Covestro_2024_GB_EN_Group_Sustainability_Statement.pdf</t>
  </si>
  <si>
    <t>https://wikirate.org/~22211484</t>
  </si>
  <si>
    <t>https://www.krones.com/en/company/investor-relations/reports.php Yohann[https://wikirate.org/Yohann].....2025-08-13 15:19:34 UTC</t>
  </si>
  <si>
    <t>https://wikirate.org/~22211662</t>
  </si>
  <si>
    <t>https://www.henkel.com/investors-and-analysts/financial-reports/annual-reports Yohann[https://wikirate.org/Yohann].....2025-08-13 16:01:48 UTC https://www.henkel.com/sustainability/sustainability-report Yohann[https://wikirate.org/Yohann].....2025-08-13 16:16:09 UTC</t>
  </si>
  <si>
    <t>https://wikirate.org/~22218134</t>
  </si>
  <si>
    <t>https://wikirate.org/~22218510</t>
  </si>
  <si>
    <t>https://wikirate.org/~21496937</t>
  </si>
  <si>
    <t>https://wikirate.org/~22218515</t>
  </si>
  <si>
    <t>https://wikirate.org/~21496904</t>
  </si>
  <si>
    <t>https://www.durr-group.com/fileadmin/durr-group.com/Investors/Downloads/Reports/2024/annual-report-2024-EN.pdf</t>
  </si>
  <si>
    <t>https://wikirate.org/~22218785</t>
  </si>
  <si>
    <t>https://wikirate.org/~22218885</t>
  </si>
  <si>
    <t>https://wikirate.org/~21495973</t>
  </si>
  <si>
    <t>https://wikirate.org/~22218978</t>
  </si>
  <si>
    <t>https://wikirate.org/~22219088</t>
  </si>
  <si>
    <t>https://wikirate.org/~21508205</t>
  </si>
  <si>
    <t>https://wikirate.org/~22219501</t>
  </si>
  <si>
    <t>https://wikirate.org/~22219687</t>
  </si>
  <si>
    <t>https://wikirate.org/~22245983</t>
  </si>
  <si>
    <t>https://wikirate.org/~22246082</t>
  </si>
  <si>
    <t>https://www.50hertz.com/Media/Medialibrary Yohann[https://wikirate.org/Yohann].....2025-08-19 09:27:32 UTC</t>
  </si>
  <si>
    <t>https://wikirate.org/~22246198</t>
  </si>
  <si>
    <t>https://wikirate.org/~22246453</t>
  </si>
  <si>
    <t>It should be noted that while you can do text based searches, it is not possible to extract information from the document with copy/paste. Laureen van Breen[https://wikirate.org/Laureen_van_Breen].....2025-08-19 12:44:45 UTC I am able to copy paste information from the report Lucia Ixtacuy[https://wikirate.org/Lucia_Ixtacuy].....2025-09-11 16:43:43 UTC</t>
  </si>
  <si>
    <t>https://wikirate.org/~22246498</t>
  </si>
  <si>
    <t>https://wikirate.org/~22246586</t>
  </si>
  <si>
    <t>https://wikirate.org/~22246726</t>
  </si>
  <si>
    <t>https://wikirate.org/~22246829</t>
  </si>
  <si>
    <t>It should be noted however that it is not possible extract information from this pdf (despite it being text based and having the ability to key word search in the document) using copy/paste. Laureen van Breen[https://wikirate.org/Laureen_van_Breen].....2025-08-20 09:25:13 UTC I can extract information (copy paste). Lucia Ixtacuy[https://wikirate.org/Lucia_Ixtacuy].....2025-09-11 11:47:35 UTC</t>
  </si>
  <si>
    <t>https://wikirate.org/~22246974</t>
  </si>
  <si>
    <t>No report available</t>
  </si>
  <si>
    <t>https://wikirate.org/~22247153</t>
  </si>
  <si>
    <t>https://wikirate.org/~22247758</t>
  </si>
  <si>
    <t>https://wikirate.org/~22249865</t>
  </si>
  <si>
    <t>https://wikirate.org/~22250722</t>
  </si>
  <si>
    <t>See the bottom of the page for download PDFs Aureliane[https://wikirate.org/Aureliane].....2025-08-28 10:15:37 UTC</t>
  </si>
  <si>
    <t>https://wikirate.org/~21483499</t>
  </si>
  <si>
    <t>Wikirate International e.V.+Entity identification</t>
  </si>
  <si>
    <t>https://wikirate.org/~21476075</t>
  </si>
  <si>
    <t>https://www.bmwgroup.com/content/dam/grpw/websites/bmwgroup_com/ir/downloads/en/2025/bericht/BMW-Group-Report-2024-en.pdf</t>
  </si>
  <si>
    <t>The BMW Group Sustainability Report 2024 does not explicitly mention LEIs or other unique legal entity identifiers. The report refers to the BMW Group as a consolidated group, including BMW, MINI, Rolls-Royce, BMW Motorrad and their global subsidiaries, but does not specify their legal entity IDs or local registrations. Therefore, no LEI or comparable ID could be extracted. Anna Diwo[https://wikirate.org/Anna_Diwo].....2025-06-01 13:14:15 UTC</t>
  </si>
  <si>
    <t>https://wikirate.org/~21484353</t>
  </si>
  <si>
    <t>https://wikirate.org/~21484315</t>
  </si>
  <si>
    <t>"Airbus SE, together with its subsidiaries, is referred to herein as the ‚ÄúCompany‚Äù or ‚ÄúAirbus‚Äù. The Company operates in three segments: Airbus (which includes the Commercial Aircraft business) and the two divisions, Airbus Defence and Space, and Airbus Helicopters. In this report, ‚ÄúAirbus‚Äù may be used to refer to the Company, and in context it may refer specifically to the Airbus segment." Lucia Ixtacuy[https://wikirate.org/Lucia_Ixtacuy].....2025-07-17 11:33:43 UTC p.327 GROUP SIMPLIFIED STRUCTURE CHART Lucia Ixtacuy[https://wikirate.org/Lucia_Ixtacuy].....2025-07-17 11:59:18 UTC</t>
  </si>
  <si>
    <t>https://wikirate.org/~21484825</t>
  </si>
  <si>
    <t>Company Registration Number/ID</t>
  </si>
  <si>
    <t>"The company is entered in the Commercial Register of the Stuttgart District Court under No. HRB 19360 and its registered office is located at Mercedesstra√üe 120, 70372 Stuttgart, Germany." p.297 Laureen van Breen[https://wikirate.org/Laureen_van_Breen].....2025-09-01 13:31:19 UTC</t>
  </si>
  <si>
    <t>https://wikirate.org/~21484904</t>
  </si>
  <si>
    <t>https://wikirate.org/~21476132</t>
  </si>
  <si>
    <t>https://report.basf.com/2024/en/_assets/downloads/entire-full-report-basf-ar24.pdf?h=bgn5lq-I</t>
  </si>
  <si>
    <t>https://wikirate.org/~21485282</t>
  </si>
  <si>
    <t>https://wikirate.org/~21485273</t>
  </si>
  <si>
    <t>https://annualreport2024.volkswagen-group.com/_assets/downloads/entire-vw-ar24.pdf?h=5AteXYgL</t>
  </si>
  <si>
    <t>page 640 Sina Kirsch[https://wikirate.org/Sina_Kirsch].....2025-06-08 20:43:05 UTC I didn't find a LEI p. 640 and more specifically p. 640 does not identify which reporting entities are covered in the report. p. 229 the beginning of the sustainability report (inserted in the annual report) does list entities covered by the report but does not use any entity IDs. Yohann[https://wikirate.org/Yohann].....2025-08-07 08:09:11 UTC There is a list of companies listed with their lobby and transparency IDs: "Volkswagen AG (R001681), Dr. Ing. h.c. F. Porsche AG (R001768), TRATON SE (R001565), VW Financial Services AG (R001704), PowerCo (R006923), AUDI AG (R001702), MAN Truck &amp; Bus SE (R001638), Cariad (R006271), MOIA (R000349), MAN Energy Solutions SE (R001653), and Volkswagen Group Charging GmbH (R001890) are registered in the Lobbying Register of the German Bundestag. Volkswagen Aktiengesellschaft (REG number: 6504541970 - 40), Scania AB (publ) (REG number: 3305029916-47), MAN Energy Solutions SE (REG number: 1012...</t>
  </si>
  <si>
    <t>https://wikirate.org/~21486498</t>
  </si>
  <si>
    <t>On page 27, under ‚ÄúAbout This Report‚Äù, E.ON states: ‚ÄúThis report encompasses all subsidiaries that are fully consolidated in E.ON‚Äôs 2024 Consolidated Financial Statements.‚Äù - The report refers to fully consolidated subsidiaries and segments using only general descriptors like geographic regions. Lena Knie√ü[https://wikirate.org/Lena_Knie√ü].....2025-06-10 09:34:43 UTC</t>
  </si>
  <si>
    <t>https://wikirate.org/~21486636</t>
  </si>
  <si>
    <t>https://wikirate.org/~21487416</t>
  </si>
  <si>
    <t>https://wikirate.org/~21484594</t>
  </si>
  <si>
    <t>https://wikirate.org/~21487961</t>
  </si>
  <si>
    <t>https://wikirate.org/~21488102</t>
  </si>
  <si>
    <t>https://wikirate.org/~22205733</t>
  </si>
  <si>
    <t>https://wikirate.org/~21495948</t>
  </si>
  <si>
    <t>https://cdn.continental.com/fileadmin/__imported/sites/corporate/_international/english/hubpages/30_20investors/30_20reports/annual_20reports/downloads/annual-report-2024.pdf?_gl=1*votxuz*_ga*OTA3NjAyNzAzLjE3NTA4NTUyNzA.*_ga_CXY4Q1X5YZ*czE3NTA4NTUyNzAkbzEkZzEkdDE3NTA4NTUyNzgkajUyJGwwJGgw</t>
  </si>
  <si>
    <t>An ID might be there, but none of the answers were present Thomas Howie[https://wikirate.org/Thomas_Howie].....2025-08-06 14:44:13 UTC</t>
  </si>
  <si>
    <t>https://wikirate.org/~22206245</t>
  </si>
  <si>
    <t>https://wikirate.org/~22206417</t>
  </si>
  <si>
    <t>https://wikirate.org/~22206428</t>
  </si>
  <si>
    <t>https://wikirate.org/~22207007</t>
  </si>
  <si>
    <t>https://wikirate.org/~21496666</t>
  </si>
  <si>
    <t>https://wikirate.org/~22207078</t>
  </si>
  <si>
    <t>https://wikirate.org/~22208565</t>
  </si>
  <si>
    <t>https://wikirate.org/~22208689</t>
  </si>
  <si>
    <t>https://wikirate.org/~22208973</t>
  </si>
  <si>
    <t>https://wikirate.org/~22209245</t>
  </si>
  <si>
    <t>https://wikirate.org/~22209365</t>
  </si>
  <si>
    <t>https://wikirate.org/~22210534</t>
  </si>
  <si>
    <t>P. 18, mentions an ISIN identifier, however, it is not related to which entities are covered in their nonfinancial report: "Reflecting the absence of any upside impetus at the beginning of 2024, the D√ºrr share (ISIN: DE0005565204) initially hovered around the price of roughly ‚Ç¨21 at which it had entered the year. However, as the forecast for 2024 published at the end of February was in line with analysts‚Äô expectations, the share subsequently rose steadily." Lucia Ixtacuy[https://wikirate.org/Lucia_Ixtacuy].....2025-08-13 08:30:40 UTC</t>
  </si>
  <si>
    <t>https://wikirate.org/~22211039</t>
  </si>
  <si>
    <t>https://wikirate.org/~22211561</t>
  </si>
  <si>
    <t>https://wikirate.org/~21496035</t>
  </si>
  <si>
    <t>p. 310 they have the list with the percentage of shares of other companies they own but no entity IDs. Yohann[https://wikirate.org/Yohann].....2025-08-13 15:30:54 UTC p. 35 Under Key Data for Krones Share ISIN Xetra Ticker symbol German Securities number Aureliane[https://wikirate.org/Aureliane].....2025-08-26 14:59:08 UTC</t>
  </si>
  <si>
    <t>https://wikirate.org/~22211698</t>
  </si>
  <si>
    <t>https://wikirate.org/~21495965</t>
  </si>
  <si>
    <t>https://www.henkel.com/resource/blob/2043310/8e58944556950ebb78141bf6a86b58a9/data/2024-sustainability-report.pdf</t>
  </si>
  <si>
    <t>https://wikirate.org/~22218170</t>
  </si>
  <si>
    <t>https://wikirate.org/~21496023</t>
  </si>
  <si>
    <t>The sustainability statement refers to p.263, where the registration number is indicated. p.263 "The registered office of the company is in Karlsruhe, Germany. The address is EnBW Energie Baden-W√ºrttemberg AG, Durlacher Allee 93, 76131 Karlsruhe. It is entered at the District Court of Mannheim under HRB no. 107956" Aureliane[https://wikirate.org/Aureliane].....2025-08-27 13:03:55 UTC</t>
  </si>
  <si>
    <t>https://wikirate.org/~22218471</t>
  </si>
  <si>
    <t>only in reference to the main company: "The HENSOLDT Group consists of HENSOLDT AG (the ‚ÄúCompany‚Äù) with its official office in Taufkirchen, Germany, (registered office: Willy-Messerschmitt-Str. 3, 82024 Taufkirchen, Germany, under entry no. HRB 258711, Munich Local Court) and its subsidiaries." p. 20 "ISIN: DE000HAG0005" P. 13 Lucia Ixtacuy[https://wikirate.org/Lucia_Ixtacuy].....2025-08-14 13:56:29 UTC</t>
  </si>
  <si>
    <t>https://wikirate.org/~22218727</t>
  </si>
  <si>
    <t>https://wikirate.org/~22218819</t>
  </si>
  <si>
    <t>International Securities Identification Number (ISIN)</t>
  </si>
  <si>
    <t>https://wikirate.org/~21496706</t>
  </si>
  <si>
    <t>p. 83 talks a bit about entities covered in the non-financial report under "1.3 Scope of consolidation" but no formal IDs. Yohann[https://wikirate.org/Yohann].....2025-08-14 16:05:39 UTC p. 15 Data on HELLA shares Initial stock market quotation11 November 2014 Ticker symbolHLE ISIN DE000A13SX22 SIN A13SX2 Share class No-par value ordinary bearer shares Market segments Prime Standard (Frankfurt Stock Exchange) Regulated market (Luxembourg Stock Exchange)Index MDAX Aureliane[https://wikirate.org/Aureliane].....2025-08-26 13:29:18 UTC</t>
  </si>
  <si>
    <t>https://wikirate.org/~22218919</t>
  </si>
  <si>
    <t>But p. 49 "2-2 Entities included in the organization‚Äôs Business Impact Reporting Refer to our 2024 10-K Report." (it's a link) Yohann[https://wikirate.org/Yohann].....2025-08-14 16:57:32 UTC</t>
  </si>
  <si>
    <t>https://wikirate.org/~22218997</t>
  </si>
  <si>
    <t>https://wikirate.org/~21496690</t>
  </si>
  <si>
    <t>https://wikirate.org/~22219120</t>
  </si>
  <si>
    <t>https://wikirate.org/~22219629</t>
  </si>
  <si>
    <t>https://wikirate.org/~22219728</t>
  </si>
  <si>
    <t>https://wikirate.org/~22246009</t>
  </si>
  <si>
    <t>https://wikirate.org/~22246102</t>
  </si>
  <si>
    <t>https://wikirate.org/~22246241</t>
  </si>
  <si>
    <t>https://wikirate.org/~22246371</t>
  </si>
  <si>
    <t>https://wikirate.org/~22246525</t>
  </si>
  <si>
    <t>https://wikirate.org/~22246619</t>
  </si>
  <si>
    <t>https://wikirate.org/~22246755</t>
  </si>
  <si>
    <t>https://wikirate.org/~22246876</t>
  </si>
  <si>
    <t>The ISIN of the company is listed on page 25 but this is in relation to their stocks, not really about identifying themselves in the context of their reporting. Laureen van Breen[https://wikirate.org/Laureen_van_Breen].....2025-08-20 08:42:23 UTC</t>
  </si>
  <si>
    <t>https://wikirate.org/~22247005</t>
  </si>
  <si>
    <t>https://wikirate.org/~22247184</t>
  </si>
  <si>
    <t>https://wikirate.org/~22247787</t>
  </si>
  <si>
    <t>"Die Gesellschaft ist im Handelsregister des Amtsgerichts Gelsenkirchen unter HRB 165 eingetragen." (p.28) Laureen van Breen[https://wikirate.org/Laureen_van_Breen].....2025-08-21 09:28:35 UTC</t>
  </si>
  <si>
    <t>https://wikirate.org/~22249886</t>
  </si>
  <si>
    <t>Company Registration Number/ID, Tax ID</t>
  </si>
  <si>
    <t>p345 Thomas Howie[https://wikirate.org/Thomas_Howie].....2025-08-27 11:17:36 UTC p. 345: VAT ID and national registration number Munich District Court HRB 159705 VAT ID no.: DE129275094 Aureliane[https://wikirate.org/Aureliane].....2025-09-01 10:17:22 UTC</t>
  </si>
  <si>
    <t>https://wikirate.org/~22250764</t>
  </si>
  <si>
    <t>None of the answer options. I also searched for: USt-IdNr. Handelsregister Umsatzsteuer-Identifikationsnummer Aureliane[https://wikirate.org/Aureliane].....2025-08-28 10:49:16 UTC</t>
  </si>
  <si>
    <t>https://wikirate.org/~21483508</t>
  </si>
  <si>
    <t>Wikirate International e.V.+Reporting period specified</t>
  </si>
  <si>
    <t>01.01‚Äì31.12.2024 Anna Diwo[https://wikirate.org/Anna_Diwo].....2025-06-01 13:16:20 UTC p. 6 The reporting period covers the financial year from 1 January to 31 December 2024. Laureen van Breen[https://wikirate.org/Laureen_van_Breen].....2025-07-31 09:21:23 UTC</t>
  </si>
  <si>
    <t>https://wikirate.org/~21484397</t>
  </si>
  <si>
    <t>Financial year from 1 January 2024 to 31 December 2024 Page 106. Katharina Linn[https://wikirate.org/Katharina_Linn].....2025-06-05 13:31:58 UTC "This is the Report of the Board of Directors (the ‚ÄúBoard Report ‚Äú) on the activities of Airbus SE during the 2024 financial year, prepared in accordance with Dutch law." p. 17 Lucia Ixtacuy[https://wikirate.org/Lucia_Ixtacuy].....2025-07-17 11:41:49 UTC</t>
  </si>
  <si>
    <t>https://wikirate.org/~21484913</t>
  </si>
  <si>
    <t>January 1, 2024, to December 31, 2024 Niclas Kautz[https://wikirate.org/Niclas_Kautz].....2025-06-06 12:16:06 UTC We have conducted a limited assurance engagement on the Sustainability Statement of BASF SE, Ludwigshafen am Rhein/Germany, combining the Consolidated Sustainability Statement and the nonfinancial statement of the parent (‚ÄúCombined Sustainability Statement‚Äù), included in section ‚Äú(Consolidated) Sustainability Statement‚Äù of the combined management report for the parent and the group, for the financial year from January 1, 2024 to December 31, 2024. p. 457 Laureen van Breen[https://wikirate.org/Laureen_van_Breen].....2025-08-08 09:02:23 UTC</t>
  </si>
  <si>
    <t>https://wikirate.org/~21485292</t>
  </si>
  <si>
    <t>page 16 Sina Kirsch[https://wikirate.org/Sina_Kirsch].....2025-06-08 20:52:56 UTC January 1st to December 31st 2024 Yohann[https://wikirate.org/Yohann].....2025-08-07 08:16:52 UTC</t>
  </si>
  <si>
    <t>https://wikirate.org/~21485557</t>
  </si>
  <si>
    <t>Es gibt keine gesonderte "Reporting page", sondern die Stand "31. Dezember 2024" erscheint fortlaufend im Bericht. Jossa Charlotte Sippel[https://wikirate.org/Jossa_Charlotte_Sippel].....2025-06-09 10:33:22 UTC "Revenue related to performance obligations that were unsatisfied (or partially unsatisfied) by the end of the reporting period that is expected to be recognized within three years amounted to ‚Ç¨7,327 million at 31 December 2024 (2023: ‚Ç¨6,663 million). " p. 329 This statement clearly shows the reporting period is FY 2024 and it run along the calendar year. Laureen van Breen[https://wikirate.org/Laureen_van_Breen].....2025-09-01 13:35:30 UTC</t>
  </si>
  <si>
    <t>https://wikirate.org/~21486507</t>
  </si>
  <si>
    <t>p. 28 "The reporting period is the 2024 calendar year. Statements on the future development of E.ON and its subsidiaries are estimates based on information available at the time of reporting" Lucia Ixtacuy[https://wikirate.org/Lucia_Ixtacuy].....2025-07-18 13:04:03 UTC</t>
  </si>
  <si>
    <t>https://wikirate.org/~21486648</t>
  </si>
  <si>
    <t>https://wikirate.org/~21487425</t>
  </si>
  <si>
    <t>P76: "The reporting period extends from 1 January 2024 to 31 December 2024" Marc McGowan[https://wikirate.org/Marc_McGowan].....2025-08-15 12:48:29 UTC</t>
  </si>
  <si>
    <t>https://wikirate.org/~21487969</t>
  </si>
  <si>
    <t>"We have conducted a limited assurance engagement on the Group Sustainability Statement, included in section ‚ÄúSustainability at Daimler Truck‚Äù of the group management report, of Daimler Truck Holding AG, Stuttgart for the financial year from January 1 to December 31, 2024." p. 301 Yohann[https://wikirate.org/Yohann].....2025-08-13 09:56:22 UTC</t>
  </si>
  <si>
    <t>https://wikirate.org/~21488110</t>
  </si>
  <si>
    <t>The fiscal year 2024 is mentioned in different places, no specific mention of the coverage made Lucia Ixtacuy[https://wikirate.org/Lucia_Ixtacuy].....2025-08-06 14:32:57 UTC</t>
  </si>
  <si>
    <t>https://wikirate.org/~22205740</t>
  </si>
  <si>
    <t>P95 report number (p98 pdf viewer number). "This sustainability report also contains the combined non-financial statement in accordance with Sections 289b to 289e and 315b to 315c of the German Commercial Code (Handelsgesetzbuch ‚Äì HGB) for the Continental Group and Continental AG, for fiscal 2024." Thomas Howie[https://wikirate.org/Thomas_Howie].....2025-08-06 14:49:18 UTC</t>
  </si>
  <si>
    <t>https://wikirate.org/~22205881</t>
  </si>
  <si>
    <t>https://wikirate.org/~22206258</t>
  </si>
  <si>
    <t>P284: "we have audited the management report of the company and the Group (hereinafter referred to as the ‚Äúcombined management report‚Äù) for the financial year from 1 October, 2023 to 30 September, 2024." Marc McGowan[https://wikirate.org/Marc_McGowan].....2025-08-07 11:10:07 UTC</t>
  </si>
  <si>
    <t>https://wikirate.org/~22206433</t>
  </si>
  <si>
    <t>p.136 "Reporting period and Report boundaries This Report refers to the Siemens 2024 fiscal year (October 1, 2023, to September 30, 2024)." Lucia Ixtacuy[https://wikirate.org/Lucia_Ixtacuy].....2025-08-07 13:08:32 UTC</t>
  </si>
  <si>
    <t>https://wikirate.org/~22207014</t>
  </si>
  <si>
    <t>P65: "January 1st to December 31st 2024" Marc McGowan[https://wikirate.org/Marc_McGowan].....2025-08-08 15:14:43 UTC</t>
  </si>
  <si>
    <t>https://wikirate.org/~22208570</t>
  </si>
  <si>
    <t>p. 114 "The present report describes the progress made in terms of sustainable business practices in the 2024 financial year (January 1, 2024, to December 31, 2024)." Laureen van Breen[https://wikirate.org/Laureen_van_Breen].....2025-08-11 07:22:44 UTC</t>
  </si>
  <si>
    <t>https://wikirate.org/~22208694</t>
  </si>
  <si>
    <t>"We have performed a limited assurance engagement on the 2024 Sustainability Report of MAHLE GmbH, Stuttgart (hereinafter ‚Äúthe Company‚Äù), for the period from 1 January to 31 December 2024 (hereinafter the ‚ÄúReport‚Äù)." p. 60 Laureen van Breen[https://wikirate.org/Laureen_van_Breen].....2025-08-11 08:10:46 UTC</t>
  </si>
  <si>
    <t>https://wikirate.org/~22208978</t>
  </si>
  <si>
    <t>"The present report describes the progress made in the 2023/24 fiscal year, i.e. from October 1, 2023 to September 30, 2024." (p. 60) Laureen van Breen[https://wikirate.org/Laureen_van_Breen].....2025-08-11 12:01:03 UTC</t>
  </si>
  <si>
    <t>https://wikirate.org/~22209191</t>
  </si>
  <si>
    <t>https://wikirate.org/~22209250</t>
  </si>
  <si>
    <t>https://wikirate.org/~22209370</t>
  </si>
  <si>
    <t>https://wikirate.org/~22209461</t>
  </si>
  <si>
    <t>" This Sustainability Report pertains to the period from January 1 through December 31, 2024" p. 87 Lucia Ixtacuy[https://wikirate.org/Lucia_Ixtacuy].....2025-08-11 14:52:16 UTC</t>
  </si>
  <si>
    <t>https://wikirate.org/~22210528</t>
  </si>
  <si>
    <t>"The reporting periods of the Sustainability Statement and financial reporting are identical and correspond to the calendar year 2024" p. 100 Lucia Ixtacuy[https://wikirate.org/Lucia_Ixtacuy].....2025-08-13 08:23:08 UTC</t>
  </si>
  <si>
    <t>https://wikirate.org/~22211044</t>
  </si>
  <si>
    <t>Every page is title "Annual rpeort 2024" Thomas Howie[https://wikirate.org/Thomas_Howie].....2025-08-13 13:09:09 UTC p.346: We have audited the consolidated financial statements of Covestro AG, Leverkusen, and its subsidiaries (the Group), which comprise the income statement, the statement of comprehensive income of the Covestro Group for the financial year from January 1 to December 31, 2024, the statement of financial position of the Covestro Group as of December 31, 2024, the statement of cash flows and the statement of changes in equity of the Covestro Group for the financial year from January 1 to December 31, 2024, and notes to the consolidated financial statements, including significant information on the accounting policies. In addition, we have audited the management report of the Company and the Group (hereinafter the "combined management report") of Covestro AG for the financial year from January 1 to December 31, 2024. Aureliane[https://wikirate.org/Aureliane].....2025-08-29 13:32:49 UTC</t>
  </si>
  <si>
    <t>https://wikirate.org/~22211567</t>
  </si>
  <si>
    <t>1 January to 31 December 2024 p. 329 first paragraph under "Assurance conclusion" (can't copy paste, need a password). Yohann[https://wikirate.org/Yohann].....2025-08-13 15:33:50 UTC</t>
  </si>
  <si>
    <t>https://wikirate.org/~22211702</t>
  </si>
  <si>
    <t>"We have conducted a limited assurance engagement on the combined separate non-financial report of Henkel AG &amp; Co. KGaA, D√ºsseldorf, (hereinafter the ‚ÄûCompany‚Äú) to comply with ¬ß¬ß [Articles] 289b to 289e HGB [Handelsgesetzbuch: German Commercial Code] and ¬ß¬ß 315b to 315c HGB including the disclosures contained in this combined separate non-financial report to fulfil the requirements of Article 8 of Regulation (EU) 2020/852 (hereinafter the ‚ÄûCombined Non-Financial Reporting‚Äú) for the financial year from 1 January to 31 December 202" p. 314 Yohann[https://wikirate.org/Yohann].....2025-08-13 16:21:53 UTC</t>
  </si>
  <si>
    <t>https://wikirate.org/~22218174</t>
  </si>
  <si>
    <t>"We have conducted a limited assurance engagement on the Group Sustainability Statement as included in section ‚ÄúSustainability Statement‚Äù of the combined management report, of EnBW Energie Baden-W√ºrttemberg AG, Karlsruhe, (hereinafter referred to as ‚Äúthe Company‚Äù) for the financial year from January 1, 2024 to December 31, 2024," p. 384 Yohann[https://wikirate.org/Yohann].....2025-08-14 10:41:03 UTC</t>
  </si>
  <si>
    <t>https://wikirate.org/~22218504</t>
  </si>
  <si>
    <t>"This Sustainability Report for the period 1 January until 31 December 2024 is the first one to be prepared in accordance with the ESRS. As a result, metrics and definitions from the previous year are not comparable and are therefore not provided for the first reporting year." p. 52 Lucia Ixtacuy[https://wikirate.org/Lucia_Ixtacuy].....2025-08-14 14:02:32 UTC</t>
  </si>
  <si>
    <t>https://wikirate.org/~22218824</t>
  </si>
  <si>
    <t>1 January to 31 December 2024 p. 84 first paragraph under 1.4 section Yohann[https://wikirate.org/Yohann].....2025-08-14 16:06:44 UTC</t>
  </si>
  <si>
    <t>https://wikirate.org/~22218924</t>
  </si>
  <si>
    <t>" Fiscal Year 2024: November 1, 2023 to October 31, 2024" p. 56 Yohann[https://wikirate.org/Yohann].....2025-08-14 17:02:53 UTC Included in the auditor's report Aureliane[https://wikirate.org/Aureliane].....2025-08-27 09:43:32 UTC</t>
  </si>
  <si>
    <t>https://wikirate.org/~22219001</t>
  </si>
  <si>
    <t>There is not specific timeframe mentioned, but we understand that the report goes from January to December, as on page one it gives information for January and on page two they mention "as of 31 December 2024." Yohann[https://wikirate.org/Yohann].....2025-08-14 19:35:13 UTC</t>
  </si>
  <si>
    <t>https://wikirate.org/~22219124</t>
  </si>
  <si>
    <t>https://wikirate.org/~22219704</t>
  </si>
  <si>
    <t>P4: "This report contains the key financial and non-financial information to provide our stakeholders with a comprehensive overview of our performance in fiscal 2024." Marc McGowan[https://wikirate.org/Marc_McGowan].....2025-08-15 14:46:03 UTC</t>
  </si>
  <si>
    <t>https://wikirate.org/~22219756</t>
  </si>
  <si>
    <t>p17 (p21 in PDF viewer) "the 2024 reporting period" - although this is in reference to financial data, the document keeps refering throughout to "the reporting period" for sustainability data Thomas Howie[https://wikirate.org/Thomas_Howie].....2025-08-15 14:52:19 UTC p. 254 "We have conducted a limited assurance engagement on the group sustainability report of Uniper SE, D√ºsseldorf, (hereinafter the ‚ÄûCompany‚Äú) included in section " Group Sustainability Report" of the group management report, which is combined with the Company's management report, for the financial year from 1January to 31December 2024 (hereinafter the "Group Sustainability Report")." Lucia Ixtacuy[https://wikirate.org/Lucia_Ixtacuy].....2025-08-21 15:18:03 UTC</t>
  </si>
  <si>
    <t>https://wikirate.org/~22246014</t>
  </si>
  <si>
    <t>P7: "This Annual Report contains the Consolidated Financial Statements and the Combined Management Report of Siemens Energy AG and its subsidiaries (‚ÄòSiemens Energy‚Äô, ‚Äòthe Group‚Äô, ‚Äòthe Company‚Äô, or ‚Äòwe‚Äô) for the year ended 30. September 2024" Marc McGowan[https://wikirate.org/Marc_McGowan].....2025-08-19 07:40:57 UTC</t>
  </si>
  <si>
    <t>https://wikirate.org/~22246106</t>
  </si>
  <si>
    <t>https://wikirate.org/~22246265</t>
  </si>
  <si>
    <t>https://wikirate.org/~22246376</t>
  </si>
  <si>
    <t>p. 74 Laureen van Breen[https://wikirate.org/Laureen_van_Breen].....2025-08-19 12:24:55 UTC "About this Report" Section "The reporting period matches the financial year, which ran from 1 January 2024 to 31 December 2024." Lucia Ixtacuy[https://wikirate.org/Lucia_Ixtacuy].....2025-09-11 16:44:46 UTC</t>
  </si>
  <si>
    <t>https://wikirate.org/~22246530</t>
  </si>
  <si>
    <t>https://wikirate.org/~22246624</t>
  </si>
  <si>
    <t>https://wikirate.org/~22246760</t>
  </si>
  <si>
    <t>"We have conducted a limited assurance engagement on the Sustainability Statement of MERCK Kommanditgesellschaft auf Aktien, Darmstadt, Germany, combining the Group Sustainability Statement and the non-financial statement of the partent (‚Äúthe Combined Sustainability Statement‚Äù), included in the section ‚Äú(Group) Sustainability Statement‚Äù of the combined management report for the parent and the group, for the financial year from January 1 to December 31, 2024." (p. 508) Laureen van Breen[https://wikirate.org/Laureen_van_Breen].....2025-08-20 07:22:29 UTC</t>
  </si>
  <si>
    <t>https://wikirate.org/~22246883</t>
  </si>
  <si>
    <t>p. 95 1 Jan - 31 Dec 2024 Laureen van Breen[https://wikirate.org/Laureen_van_Breen].....2025-08-20 08:45:01 UTC p. 95 "The report covers the period from January 1 to December 31, 2024, except where otherwise indicated." Lucia Ixtacuy[https://wikirate.org/Lucia_Ixtacuy].....2025-09-11 11:49:30 UTC</t>
  </si>
  <si>
    <t>https://wikirate.org/~22247010</t>
  </si>
  <si>
    <t>https://wikirate.org/~22247192</t>
  </si>
  <si>
    <t>p6 "Report on operations at 31 December 2024" Thomas Howie[https://wikirate.org/Thomas_Howie].....2025-08-20 10:34:27 UTC</t>
  </si>
  <si>
    <t>https://wikirate.org/~22247793</t>
  </si>
  <si>
    <t>"‚Ä∫ kurzfristiger Zeithorizont: Zeitraum, den das Unternehmen in seinem Abschluss als Berichtszeitraum zugrunde gelegt hat; dies entspricht dem Gesch√§ftsjahr (1. Januar bis 31. Dezember), ‚Ä∫ mittelfristiger Zeithorizont: vom Ende des kurzfristigen Berichtszeitraums bis zu f√ºnf Jahren, ‚Ä∫ langfristiger Zeithorizont: mehr als f√ºnf Jahre." (p. 73) Laureen van Breen[https://wikirate.org/Laureen_van_Breen].....2025-08-21 09:38:45 UTC</t>
  </si>
  <si>
    <t>https://wikirate.org/~22249894</t>
  </si>
  <si>
    <t>p123 "The reporting period extends from January 1, 2024 to December 31, 2024 and corresponds to the period covered by the consolidated financial statements." Thomas Howie[https://wikirate.org/Thomas_Howie].....2025-08-27 11:22:13 UTC</t>
  </si>
  <si>
    <t>https://wikirate.org/~22250770</t>
  </si>
  <si>
    <t>https://wikirate.org/~21483513</t>
  </si>
  <si>
    <t>Wikirate International e.V.+Integrated indicator codes</t>
  </si>
  <si>
    <t>Index with page references</t>
  </si>
  <si>
    <t>https://wikirate.org/~21483482</t>
  </si>
  <si>
    <t>https://www.bmwgroup.com/en/report/2024/downloads/BMW-Group-Report-2024-en.pdf</t>
  </si>
  <si>
    <t>from page 237 on Anna Diwo[https://wikirate.org/Anna_Diwo].....2025-06-01 13:25:17 UTC Removed 'alongside disclosures' answer option - which does not apply. Indeed an ESRS index on page 237-245 Laureen van Breen[https://wikirate.org/Laureen_van_Breen].....2025-07-31 09:25:31 UTC</t>
  </si>
  <si>
    <t>https://wikirate.org/~21484411</t>
  </si>
  <si>
    <t>Alongside disclosures (in line or on the same page), Index with page references</t>
  </si>
  <si>
    <t>Page 107 ff. Katharina Linn[https://wikirate.org/Katharina_Linn].....2025-06-05 13:34:12 UTC</t>
  </si>
  <si>
    <t>https://wikirate.org/~21484922</t>
  </si>
  <si>
    <t>The report uses explicit ESRS indicator codes such as: ESRS 2 SBM-1, ESRS E1, ESRS E4, ESRS S1, etc. These codes are: Clearly labeled next to relevant sections in the (Consolidated) Sustainability Statement. Highlighted with an ‚ÄúESRS‚Äù icon or heading to denote fulfillment of specific disclosure requirements. Niclas Kautz[https://wikirate.org/Niclas_Kautz].....2025-06-06 12:20:31 UTC Alongside dislcosure example: p. 205 Index: p. 147-149 Laureen van Breen[https://wikirate.org/Laureen_van_Breen].....2025-08-08 09:06:36 UTC</t>
  </si>
  <si>
    <t>https://wikirate.org/~21485297</t>
  </si>
  <si>
    <t>page 445 Sina Kirsch[https://wikirate.org/Sina_Kirsch].....2025-06-08 20:56:29 UTC</t>
  </si>
  <si>
    <t>https://wikirate.org/~21485562</t>
  </si>
  <si>
    <t>p. 245 Lucia Ixtacuy[https://wikirate.org/Lucia_Ixtacuy].....2025-08-05 12:36:37 UTC</t>
  </si>
  <si>
    <t>https://wikirate.org/~21486511</t>
  </si>
  <si>
    <t>Page 28 Lena Knie√ü[https://wikirate.org/Lena_Knie√ü].....2025-06-10 09:43:15 UTC p. 225 p. 37 "The Index to the Sustainability Statement in the Appendix to the Sustainability Statement contains a comprehensive overview of all ESRS disclosure requirements relevant to E.ON. The appendix also provides a list of all data points resulting from EU legislation listed in ESRS 2 A ppendix B" Lucia Ixtacuy[https://wikirate.org/Lucia_Ixtacuy].....2025-07-18 13:24:16 UTC</t>
  </si>
  <si>
    <t>https://wikirate.org/~21486652</t>
  </si>
  <si>
    <t>https://wikirate.org/~21487429</t>
  </si>
  <si>
    <t>https://wikirate.org/~21487973</t>
  </si>
  <si>
    <t>2 Index pp. 151/159 but not alongside disclosures Yohann[https://wikirate.org/Yohann].....2025-08-13 10:11:19 UTC</t>
  </si>
  <si>
    <t>https://wikirate.org/~21488114</t>
  </si>
  <si>
    <t>https://wikirate.org/~22205802</t>
  </si>
  <si>
    <t>P211 (p214 pdf viewer) Thomas Howie[https://wikirate.org/Thomas_Howie].....2025-08-06 15:10:17 UTC</t>
  </si>
  <si>
    <t>https://wikirate.org/~22205892</t>
  </si>
  <si>
    <t>https://wikirate.org/~22206510</t>
  </si>
  <si>
    <t>https://wikirate.org/~22207051</t>
  </si>
  <si>
    <t>Alongside disclosures (in line or on the same page), Other</t>
  </si>
  <si>
    <t>ESRS disclosures indicated per section see P65 ESRS index without page references P221 Marc McGowan[https://wikirate.org/Marc_McGowan].....2025-08-08 15:50:10 UTC</t>
  </si>
  <si>
    <t>https://wikirate.org/~22207060</t>
  </si>
  <si>
    <t>Alongside disclosures (in line or on the same page)</t>
  </si>
  <si>
    <t>p. 118-135 Lucia Ixtacuy[https://wikirate.org/Lucia_Ixtacuy].....2025-08-08 16:07:40 UTC</t>
  </si>
  <si>
    <t>https://wikirate.org/~22208587</t>
  </si>
  <si>
    <t>Only for the GRI standard specific disclosure indicators are used (in the index): p. 102-110 For the ESRS they integrate high-level codes in the double materiality assessment matrix too, but these are not granular enough to identify specific disclosures (p. 14) Laureen van Breen[https://wikirate.org/Laureen_van_Breen].....2025-08-11 07:33:43 UTC</t>
  </si>
  <si>
    <t>https://wikirate.org/~22208723</t>
  </si>
  <si>
    <t>GRI index: p. 63-70 Laureen van Breen[https://wikirate.org/Laureen_van_Breen].....2025-08-11 08:19:09 UTC</t>
  </si>
  <si>
    <t>https://wikirate.org/~22208995</t>
  </si>
  <si>
    <t>p. 56-59 Laureen van Breen[https://wikirate.org/Laureen_van_Breen].....2025-08-11 12:07:58 UTC</t>
  </si>
  <si>
    <t>https://wikirate.org/~22209273</t>
  </si>
  <si>
    <t>https://wikirate.org/~22209318</t>
  </si>
  <si>
    <t>https://wikirate.org/~22209394</t>
  </si>
  <si>
    <t>https://wikirate.org/~22209478</t>
  </si>
  <si>
    <t>p. 95 Lucia Ixtacuy[https://wikirate.org/Lucia_Ixtacuy].....2025-08-11 15:15:41 UTC</t>
  </si>
  <si>
    <t>https://wikirate.org/~22210540</t>
  </si>
  <si>
    <t>P. 101, 106, 111... Lucia Ixtacuy[https://wikirate.org/Lucia_Ixtacuy].....2025-08-13 08:35:30 UTC</t>
  </si>
  <si>
    <t>https://wikirate.org/~22211065</t>
  </si>
  <si>
    <t>https://wikirate.org/~22211609</t>
  </si>
  <si>
    <t>index pp. 171/ 175 Yohann[https://wikirate.org/Yohann].....2025-08-13 15:47:32 UTC The indicators are provided but only at the first level, e.g. "Water resources (ESrS E3)" Aureliane[https://wikirate.org/Aureliane].....2025-08-26 15:09:59 UTC</t>
  </si>
  <si>
    <t>https://wikirate.org/~22211716</t>
  </si>
  <si>
    <t>alongside disclosures ex p. 24 index pp. 105/108 Yohann[https://wikirate.org/Yohann].....2025-08-13 16:31:58 UTC Example p. 178 Impact, risk and opportunity management Policies related to water and marine resources (E3-1) Key content of the policy (E3-1_11, MDR-P_65a, E3-1_12a, E3-1_12a i, E3-1_12a ii, E3-1_12b, 12c, E3-1_13) Aureliane[https://wikirate.org/Aureliane].....2025-08-27 11:40:19 UTC</t>
  </si>
  <si>
    <t>https://wikirate.org/~22218188</t>
  </si>
  <si>
    <t>https://wikirate.org/~22218422</t>
  </si>
  <si>
    <t>index starting p. 102 alongside example p. 62 Lucia Ixtacuy[https://wikirate.org/Lucia_Ixtacuy].....2025-08-14 13:48:59 UTC</t>
  </si>
  <si>
    <t>https://wikirate.org/~22218838</t>
  </si>
  <si>
    <t>alongside disclosure ex p. 83 index pp 114/116 Yohann[https://wikirate.org/Yohann].....2025-08-14 16:19:14 UTC Example p. 85: 2.1 Role of the administrative, management and supervisory bodies (ESRS 2 GOV-1) Aureliane[https://wikirate.org/Aureliane].....2025-08-26 14:24:29 UTC</t>
  </si>
  <si>
    <t>https://wikirate.org/~22218938</t>
  </si>
  <si>
    <t>GRI index pp. 50/54 Yohann[https://wikirate.org/Yohann].....2025-08-14 17:13:13 UTC</t>
  </si>
  <si>
    <t>https://wikirate.org/~22219014</t>
  </si>
  <si>
    <t>https://wikirate.org/~22219136</t>
  </si>
  <si>
    <t>https://wikirate.org/~22219803</t>
  </si>
  <si>
    <t>There are small reference to codes next to section titles, example. p. 77 "Environmental, social, governance ESRS 2 GOV 5 36 c)" Lucia Ixtacuy[https://wikirate.org/Lucia_Ixtacuy].....2025-08-29 13:43:01 UTC</t>
  </si>
  <si>
    <t>https://wikirate.org/~22219849</t>
  </si>
  <si>
    <t>pages 100 - 102 and 133-137 describe loosely where to find the information, e.g. section of the report or Annex and Table number, but I am not sure i would call it an Index Thomas Howie[https://wikirate.org/Thomas_Howie].....2025-08-15 15:05:49 UTC</t>
  </si>
  <si>
    <t>https://wikirate.org/~22246030</t>
  </si>
  <si>
    <t>https://wikirate.org/~22246118</t>
  </si>
  <si>
    <t>https://wikirate.org/~22246294</t>
  </si>
  <si>
    <t>https://wikirate.org/~22246393</t>
  </si>
  <si>
    <t>p. 77 - 83 Laureen van Breen[https://wikirate.org/Laureen_van_Breen].....2025-08-19 12:31:58 UTC</t>
  </si>
  <si>
    <t>https://wikirate.org/~22246641</t>
  </si>
  <si>
    <t>The references to ESRS codes are too high-level to identify specific disclosures in the report (for example: p. 8) There are a few specific disclosure requirement codes mentioned but those are in reference to the annual report (p. 8) Laureen van Breen[https://wikirate.org/Laureen_van_Breen].....2025-08-19 20:13:11 UTC</t>
  </si>
  <si>
    <t>https://wikirate.org/~22246777</t>
  </si>
  <si>
    <t>Alongside disclosure example: p. 152 Index example: p. 513 Laureen van Breen[https://wikirate.org/Laureen_van_Breen].....2025-08-20 07:37:31 UTC</t>
  </si>
  <si>
    <t>https://wikirate.org/~22246909</t>
  </si>
  <si>
    <t>Alongside disclosure example: p. 145 Index: p. 212-216 Laureen van Breen[https://wikirate.org/Laureen_van_Breen].....2025-08-20 09:16:21 UTC</t>
  </si>
  <si>
    <t>https://wikirate.org/~22247025</t>
  </si>
  <si>
    <t>https://wikirate.org/~22247099</t>
  </si>
  <si>
    <t>https://wikirate.org/~22247374</t>
  </si>
  <si>
    <t>https://wikirate.org/~22247810</t>
  </si>
  <si>
    <t>Alongside disclosure example: p. 119 Index: 98-101 Laureen van Breen[https://wikirate.org/Laureen_van_Breen].....2025-08-21 09:47:34 UTC</t>
  </si>
  <si>
    <t>https://wikirate.org/~22249916</t>
  </si>
  <si>
    <t>No page numbers include in index, but a clickable link embedded within the text is. Thomas Howie[https://wikirate.org/Thomas_Howie].....2025-08-27 11:37:14 UTC p222 Thomas Howie[https://wikirate.org/Thomas_Howie].....2025-08-27 11:38:47 UTC</t>
  </si>
  <si>
    <t>https://wikirate.org/~22250788</t>
  </si>
  <si>
    <t>https://wikirate.org/~21483518</t>
  </si>
  <si>
    <t>Wikirate International e.V.+Data license explicit</t>
  </si>
  <si>
    <t>https://wikirate.org/~21484416</t>
  </si>
  <si>
    <t>https://wikirate.org/~21484937</t>
  </si>
  <si>
    <t>https://wikirate.org/~21484761</t>
  </si>
  <si>
    <t>https://www.basf.com/dam/jcr:a0caf160-c019-40b1-a4ea-eaedb29b0685/basf/www/global/documents/en/investor-relations/calendar-and-publications/reports/2025/BASF_Report_2024.pdf</t>
  </si>
  <si>
    <t>https://wikirate.org/~21485302</t>
  </si>
  <si>
    <t>page 659, other matters - use of auditor's report Sina Kirsch[https://wikirate.org/Sina_Kirsch].....2025-06-08 21:02:45 UTC</t>
  </si>
  <si>
    <t>https://wikirate.org/~21485570</t>
  </si>
  <si>
    <t>https://wikirate.org/~21486516</t>
  </si>
  <si>
    <t>https://wikirate.org/~21486670</t>
  </si>
  <si>
    <t>https://wikirate.org/~21487434</t>
  </si>
  <si>
    <t>https://wikirate.org/~21487977</t>
  </si>
  <si>
    <t>https://wikirate.org/~21488118</t>
  </si>
  <si>
    <t>https://wikirate.org/~22205808</t>
  </si>
  <si>
    <t>https://wikirate.org/~22205897</t>
  </si>
  <si>
    <t>https://wikirate.org/~22206456</t>
  </si>
  <si>
    <t>https://wikirate.org/~22206519</t>
  </si>
  <si>
    <t>https://wikirate.org/~22208593</t>
  </si>
  <si>
    <t>https://wikirate.org/~22208603</t>
  </si>
  <si>
    <t>https://wikirate.org/~22208729</t>
  </si>
  <si>
    <t>https://wikirate.org/~22209001</t>
  </si>
  <si>
    <t>https://wikirate.org/~22209278</t>
  </si>
  <si>
    <t>https://wikirate.org/~22209323</t>
  </si>
  <si>
    <t>https://wikirate.org/~22209406</t>
  </si>
  <si>
    <t>https://wikirate.org/~22209484</t>
  </si>
  <si>
    <t>https://wikirate.org/~22210546</t>
  </si>
  <si>
    <t>https://wikirate.org/~22211079</t>
  </si>
  <si>
    <t>https://wikirate.org/~22211614</t>
  </si>
  <si>
    <t>https://wikirate.org/~22211721</t>
  </si>
  <si>
    <t>https://wikirate.org/~22218193</t>
  </si>
  <si>
    <t>https://wikirate.org/~22218432</t>
  </si>
  <si>
    <t>https://wikirate.org/~22218843</t>
  </si>
  <si>
    <t>https://wikirate.org/~22218943</t>
  </si>
  <si>
    <t>https://wikirate.org/~22219018</t>
  </si>
  <si>
    <t>https://wikirate.org/~22219140</t>
  </si>
  <si>
    <t>p. 44 copyright section can't copy paste Yohann[https://wikirate.org/Yohann].....2025-08-15 10:59:35 UTC p.44 Copyright¬© C.H. Boehringer Sohn AG &amp; Co. KG, 2025 All rights reserved, especially the right of reproduction (in whole or parts). No part of this Annual Report 2024 may be reproduced or transmitted in any form or by any means, electronic or photocopy, without permission in writing from C.H. Boehringer Sohn AG &amp; Co. KG. Figures from third parties used in the annual report are based on data available at the time the financial statements were drawn up Aureliane[https://wikirate.org/Aureliane].....2025-08-27 12:44:56 UTC</t>
  </si>
  <si>
    <t>https://wikirate.org/~22219820</t>
  </si>
  <si>
    <t>https://wikirate.org/~22219865</t>
  </si>
  <si>
    <t>https://wikirate.org/~22246035</t>
  </si>
  <si>
    <t>https://wikirate.org/~22246122</t>
  </si>
  <si>
    <t>https://wikirate.org/~22246304</t>
  </si>
  <si>
    <t>https://wikirate.org/~22246399</t>
  </si>
  <si>
    <t>https://wikirate.org/~22246647</t>
  </si>
  <si>
    <t>https://wikirate.org/~22246783</t>
  </si>
  <si>
    <t>https://wikirate.org/~22246915</t>
  </si>
  <si>
    <t>https://wikirate.org/~22247030</t>
  </si>
  <si>
    <t>https://wikirate.org/~22247105</t>
  </si>
  <si>
    <t>https://wikirate.org/~22247381</t>
  </si>
  <si>
    <t>https://wikirate.org/~22247816</t>
  </si>
  <si>
    <t>https://wikirate.org/~22249922</t>
  </si>
  <si>
    <t>https://wikirate.org/~22250794</t>
  </si>
  <si>
    <t>https://wikirate.org/~21483522</t>
  </si>
  <si>
    <t>Wikirate International e.V.+Direct links to referenced documents</t>
  </si>
  <si>
    <t>For examples see page 106 and 138 Laureen van Breen[https://wikirate.org/Laureen_van_Breen].....2025-07-31 09:28:59 UTC</t>
  </si>
  <si>
    <t>https://wikirate.org/~21484432</t>
  </si>
  <si>
    <t>Example: "This remuneration report explains how the Company implemented the Remuneration Policy for the Board of Directors in the financial year 2024. As disclosed in the Airbus Report of the Board of Directors 2023, and as part of the Company‚Äôs commitment to transparency and accessibility, the Company‚Äôs Remuneration Policy is no longer included in the Board Report, rather it is available as a standalone document, posted with the Company‚Äôs governance and framework documents on the Company‚Äôs website: https://www.airbus.com/en/our‚Äëgovernance/governance‚Äëframework‚Äëand‚Äëdocuments Not for all policies, eg. Environmental Policy, Human Rights Policy Lucia Ixtacuy[https://wikirate.org/Lucia_Ixtacuy].....2025-07-17 12:53:05 UTC</t>
  </si>
  <si>
    <t>https://wikirate.org/~21484941</t>
  </si>
  <si>
    <t>The report includes clickable URLs for key resources Niclas Kautz[https://wikirate.org/Niclas_Kautz].....2025-06-06 12:25:20 UTC Example: p. 293 Laureen van Breen[https://wikirate.org/Laureen_van_Breen].....2025-08-08 09:12:12 UTC</t>
  </si>
  <si>
    <t>https://wikirate.org/~21485307</t>
  </si>
  <si>
    <t>https://wikirate.org/~21485579</t>
  </si>
  <si>
    <t>Some links are available, but not all. Mostly information on corporate governance: Links available: Code of Conduct, as https://group.mercedes-benz.com/documents/company/compliance/mercedes-benz-group-ag-integrity-code.pdf https://wikirate.org/mod/pdfjs/web/viewer.html?file=https://wikirate-production-storage.fra1.cdn.digitaloceanspaces.com/files/21495935/51135873.pdf#%5B%7B%22num%22%3A962%2C%22gen%22%3A0%7D%2C%7B%22name%22%3A%22XYZ%22%7D%2Cnull%2C428%2Cnull%5D Lucia Ixtacuy[https://wikirate.org/Lucia_Ixtacuy].....2025-08-05 12:06:32 UTC p. 261 is an example of where links to referenced documents can be found. These links however do not DIRECTLY link to these documents but go to landing pages where another link to the actual document can be found. Laureen van Breen[https://wikirate.org/Laureen_van_Breen].....2025-09-01 13:23:28 UTC</t>
  </si>
  <si>
    <t>https://wikirate.org/~21486520</t>
  </si>
  <si>
    <t>https://wikirate.org/~21486674</t>
  </si>
  <si>
    <t>https://wikirate.org/~21487438</t>
  </si>
  <si>
    <t>page 137 Luisa Valandro[https://wikirate.org/Luisa_Valandro].....2025-06-10 16:41:13 UTC</t>
  </si>
  <si>
    <t>https://wikirate.org/~21487981</t>
  </si>
  <si>
    <t>p. 8 indicates there are links and ex p. 70 Yohann[https://wikirate.org/Yohann].....2025-08-13 09:48:57 UTC</t>
  </si>
  <si>
    <t>https://wikirate.org/~21488122</t>
  </si>
  <si>
    <t>https://wikirate.org/~22205658</t>
  </si>
  <si>
    <t>p16 in the report (p19 in the PDF reader) specifies links to: Code of Conduct for all Continental Employees - no further links in the document. However, code of conduct is also linked on its Sustainability Archive/Landing page Thomas Howie[https://wikirate.org/Thomas_Howie].....2025-08-06 14:07:05 UTC Changed to no as other mentioned polices such as the EHS policy (environmental, health &amp; safety) and Continental‚Äôs purchasing policy for sustainable natural rubber were not linked. Marc McGowan[https://wikirate.org/Marc_McGowan].....2025-08-26 15:03:21 UTC</t>
  </si>
  <si>
    <t>https://wikirate.org/~22206200</t>
  </si>
  <si>
    <t>https://wikirate.org/~22206404</t>
  </si>
  <si>
    <t>"Our whistle-blower system is also described in our Code of Conduct, which is publicly available to our employees and partners on our website." P. 53 Lucia Ixtacuy[https://wikirate.org/Lucia_Ixtacuy].....2025-08-07 12:49:13 UTC</t>
  </si>
  <si>
    <t>https://wikirate.org/~22206978</t>
  </si>
  <si>
    <t>https://wikirate.org/~22208552</t>
  </si>
  <si>
    <t>For examples see p. 74 and 77 Laureen van Breen[https://wikirate.org/Laureen_van_Breen].....2025-08-11 07:09:01 UTC</t>
  </si>
  <si>
    <t>https://wikirate.org/~22208671</t>
  </si>
  <si>
    <t>https://wikirate.org/~22208931</t>
  </si>
  <si>
    <t>In the margin of the document there are reference to the policies or codes etc that are being referenced on that page, with (in most cases) direct links to those documents. In a few cases though, the link goes to a landing page where you can then download the document in question (not ideal for machine reading purposes). For examples see p. 18 Laureen van Breen[https://wikirate.org/Laureen_van_Breen].....2025-08-11 11:28:49 UTC</t>
  </si>
  <si>
    <t>https://wikirate.org/~22209103</t>
  </si>
  <si>
    <t>p. 51 POLICY STATEMENT "The Legal and Compliance organization is the overarching coordination body and monitors the corporate risk management on human rights for Siemens‚Äô own operations as well as for direct and indirect suppliers. " https://www.siemens.com/global/en/company/sustainability/social-commitments/humanrights.html p. 60 " More information and the text of our Responsible Minerals Sourcing Policy can be found at WWW.SIEMENS.COM/RESPONSIBLEMINERALS" p. 63 "Our environmental policies also include a commitment to continually mitigate the adverse environmental impact of our products, systems, solutions, and services.WEBSITE ON ENVIRONMENTAL PROTECTION" Lucia Ixtacuy[https://wikirate.org/Lucia_Ixtacuy].....2025-08-11 12:45:28 UTC</t>
  </si>
  <si>
    <t>https://wikirate.org/~22209234</t>
  </si>
  <si>
    <t>Code of conduct is present in the sustainability report Thomas Howie[https://wikirate.org/Thomas_Howie].....2025-08-11 13:37:31 UTC No links to other policies, including EHS policy, which is mentioned several times Marc McGowan[https://wikirate.org/Marc_McGowan].....2025-08-27 08:12:12 UTC</t>
  </si>
  <si>
    <t>https://wikirate.org/~22209355</t>
  </si>
  <si>
    <t>https://wikirate.org/~22209439</t>
  </si>
  <si>
    <t>https://wikirate.org/~22211018</t>
  </si>
  <si>
    <t>https://wikirate.org/~22211503</t>
  </si>
  <si>
    <t>no links but refers to other pages Yohann[https://wikirate.org/Yohann].....2025-08-13 15:21:55 UTC No links even when they describe their policy documents p.93 Aureliane[https://wikirate.org/Aureliane].....2025-08-26 14:50:59 UTC</t>
  </si>
  <si>
    <t>https://wikirate.org/~22211672</t>
  </si>
  <si>
    <t>I found only one link p. 142 that refers to policy mentioned but not Yohann[https://wikirate.org/Yohann].....2025-08-13 16:10:01 UTC There is a link to the website where all the policies and reports can be downloaded, but there is no direct links to each individual policy. Aureliane[https://wikirate.org/Aureliane].....2025-08-27 11:20:15 UTC</t>
  </si>
  <si>
    <t>https://wikirate.org/~22218152</t>
  </si>
  <si>
    <t>p. 4 on the left indicate that there are marks for links an ex p. 43 "declaration of compliance" Yohann[https://wikirate.org/Yohann].....2025-08-14 10:31:02 UTC p.45 and 48: links to Code of Conduct, Report under Supply Chain Act, and other documents. No link to Human Rights Policy. Aureliane[https://wikirate.org/Aureliane].....2025-08-27 13:00:53 UTC</t>
  </si>
  <si>
    <t>https://wikirate.org/~22218657</t>
  </si>
  <si>
    <t>https://wikirate.org/~22218755</t>
  </si>
  <si>
    <t>"The valid ‚ÄúLANXESS Corporate Policy‚Äù is accessible to all employees via the Xdirect document management system available throughout the Group and is publicly available on the LANXESS website. " Lucia Ixtacuy[https://wikirate.org/Lucia_Ixtacuy].....2025-08-14 15:07:38 UTC</t>
  </si>
  <si>
    <t>https://wikirate.org/~22218798</t>
  </si>
  <si>
    <t>https://wikirate.org/~22218894</t>
  </si>
  <si>
    <t>p. 29 Yohann[https://wikirate.org/Yohann].....2025-08-14 16:46:58 UTC "Our commitment to respecting human rights is defined in our Code of Business Conduct, Supplier Code of Conduct, Dealer Code of Conduct, and John Deere‚Äôs Support of Human Rights in Our Business Practices. These codes aim to establish clear guidelines for our employees, " p. 29 Lucia Ixtacuy[https://wikirate.org/Lucia_Ixtacuy].....2025-09-11 11:26:03 UTC</t>
  </si>
  <si>
    <t>https://wikirate.org/~22218987</t>
  </si>
  <si>
    <t>ex p. 5 Yohann[https://wikirate.org/Yohann].....2025-08-14 19:26:10 UTC</t>
  </si>
  <si>
    <t>https://wikirate.org/~22219097</t>
  </si>
  <si>
    <t>Checked for links for Code of Conduct and Human Rights Policy Aureliane[https://wikirate.org/Aureliane].....2025-08-27 12:38:34 UTC</t>
  </si>
  <si>
    <t>https://wikirate.org/~22219211</t>
  </si>
  <si>
    <t>https://wikirate.org/~22219574</t>
  </si>
  <si>
    <t>https://wikirate.org/~22219699</t>
  </si>
  <si>
    <t>https://wikirate.org/~22245993</t>
  </si>
  <si>
    <t>https://wikirate.org/~22246092</t>
  </si>
  <si>
    <t>yes ex p. 21 Yohann[https://wikirate.org/Yohann].....2025-08-19 09:32:54 UTC under "find out more" Yohann[https://wikirate.org/Yohann].....2025-08-19 09:33:13 UTC No reference to policies or code of conduct. Lucia Ixtacuy[https://wikirate.org/Lucia_Ixtacuy].....2025-08-21 10:51:09 UTC</t>
  </si>
  <si>
    <t>https://wikirate.org/~22246214</t>
  </si>
  <si>
    <t>https://wikirate.org/~22246343</t>
  </si>
  <si>
    <t>One direct link to the Code of Conduct p. 65 and a direct link to their data protection notice on p. 73 But it should be noted that there is no direct links to any policies.. Laureen van Breen[https://wikirate.org/Laureen_van_Breen].....2025-08-19 12:13:15 UTC</t>
  </si>
  <si>
    <t>https://wikirate.org/~22246508</t>
  </si>
  <si>
    <t>https://wikirate.org/~22246602</t>
  </si>
  <si>
    <t>https://wikirate.org/~22246736</t>
  </si>
  <si>
    <t>I was able to find two instances so per the methodology that is a "Yes" but it must be noted that it is not a systematic approach seeing a lot of policies are mentioned but not linked to. Examples: Code of conduct (p. 341) DEIB commitment (p. 117) Laureen van Breen[https://wikirate.org/Laureen_van_Breen].....2025-08-20 07:11:43 UTC</t>
  </si>
  <si>
    <t>https://wikirate.org/~22246843</t>
  </si>
  <si>
    <t>p. 149 has a link to the company's policies landing page on their website in the footnotes, but no direct link to the biodiversity policy that is referenced. Same approach in a few other instances. Laureen van Breen[https://wikirate.org/Laureen_van_Breen].....2025-08-20 08:32:09 UTC</t>
  </si>
  <si>
    <t>https://wikirate.org/~22246991</t>
  </si>
  <si>
    <t>https://wikirate.org/~22247169</t>
  </si>
  <si>
    <t>https://wikirate.org/~22247776</t>
  </si>
  <si>
    <t>https://wikirate.org/~22249875</t>
  </si>
  <si>
    <t>There is a direct link, but only goes to another section of the report Thomas Howie[https://wikirate.org/Thomas_Howie].....2025-08-27 11:15:37 UTC No direct links for mentions of Human Rights Policy, Code of Conduct, Supplier Code of Conduct... Aureliane[https://wikirate.org/Aureliane].....2025-09-01 10:11:01 UTC</t>
  </si>
  <si>
    <t>https://wikirate.org/~22250746</t>
  </si>
  <si>
    <t>https://wikirate.org/~21483526</t>
  </si>
  <si>
    <t>Wikirate International e.V.+Archive of referenced documents</t>
  </si>
  <si>
    <t>Library with current documents</t>
  </si>
  <si>
    <t>https://wikirate.org/~22170540</t>
  </si>
  <si>
    <t>https://wikirate.org/~21484436</t>
  </si>
  <si>
    <t>https://wikirate.org/~22245854</t>
  </si>
  <si>
    <t>https://wikirate.org/~21484950</t>
  </si>
  <si>
    <t>https://wikirate.org/~22206710</t>
  </si>
  <si>
    <t>https://report.basf.com/2024/en/ Niclas Kautz[https://wikirate.org/Niclas_Kautz].....2025-06-06 12:29:10 UTC It is not entirely clear if this includes all their policies and codes of conduct, but it is quite comprehensive. Laureen van Breen[https://wikirate.org/Laureen_van_Breen].....2025-08-08 09:20:40 UTC</t>
  </si>
  <si>
    <t>https://wikirate.org/~21485320</t>
  </si>
  <si>
    <t>https://wikirate.org/~21485310</t>
  </si>
  <si>
    <t>https://annualreport2024.volkswagen-group.com/services/downloads.html</t>
  </si>
  <si>
    <t>https://wikirate.org/~21485583</t>
  </si>
  <si>
    <t>https://wikirate.org/~22252493</t>
  </si>
  <si>
    <t>It is not entirely clear to me that this includes all policies they might have, but I did find links to 3 key non-financial policies / codes of conduct on this page which makes me think this is the overview page. Laureen van Breen[https://wikirate.org/Laureen_van_Breen].....2025-09-01 13:28:14 UTC</t>
  </si>
  <si>
    <t>https://wikirate.org/~21486524</t>
  </si>
  <si>
    <t>Archive with current and historic documents</t>
  </si>
  <si>
    <t>They have previous versions of the Human Rights Statement (https://www.eon.com/en/about-us/sustainability/download-center.html) and the Code of Conduct (https://www.eon.com/en/about-us/e-on-procurement/hse-sustainability.html#supplier-code-of-conduct) - but only the 2 past years are available Aureliane[https://wikirate.org/Aureliane].....2025-08-29 15:10:24 UTC</t>
  </si>
  <si>
    <t>https://wikirate.org/~21486688</t>
  </si>
  <si>
    <t>https://wikirate.org/~21487443</t>
  </si>
  <si>
    <t>https://wikirate.org/~22219284</t>
  </si>
  <si>
    <t>Current policies are available in the download centre Marc McGowan[https://wikirate.org/Marc_McGowan].....2025-08-15 12:42:24 UTC Listed under, "Download Type: Other" Thomas Howie[https://wikirate.org/Thomas_Howie].....2025-09-02 18:45:59 UTC</t>
  </si>
  <si>
    <t>https://wikirate.org/~21487985</t>
  </si>
  <si>
    <t>I could not find an archive for the Code of Conduct, Human Rights Policy, etc. Aureliane[https://wikirate.org/Aureliane].....2025-08-26 11:20:45 UTC</t>
  </si>
  <si>
    <t>https://wikirate.org/~21488126</t>
  </si>
  <si>
    <t>https://www.jenoptik.us/sustainability Aureliane[https://wikirate.org/Aureliane].....2025-09-01 10:42:18 UTC</t>
  </si>
  <si>
    <t>https://wikirate.org/~22205716</t>
  </si>
  <si>
    <t>https://wikirate.org/~22205628</t>
  </si>
  <si>
    <t>Drop down menus only present current versions - no previous/older versions seem to be available Thomas Howie[https://wikirate.org/Thomas_Howie].....2025-08-06 14:34:00 UTC</t>
  </si>
  <si>
    <t>https://wikirate.org/~22206212</t>
  </si>
  <si>
    <t>https://wikirate.org/~22206205</t>
  </si>
  <si>
    <t>https://wikirate.org/~22206410</t>
  </si>
  <si>
    <t>https://wikirate.org/~22207000</t>
  </si>
  <si>
    <t>https://wikirate.org/~22206993</t>
  </si>
  <si>
    <t>Contains some policy docs mentioned in the report, but others are on different parts of the website Marc McGowan[https://wikirate.org/Marc_McGowan].....2025-08-08 15:03:14 UTC</t>
  </si>
  <si>
    <t>https://wikirate.org/~22208559</t>
  </si>
  <si>
    <t>Under the 'Documents' section when you click 'Load more' Laureen van Breen[https://wikirate.org/Laureen_van_Breen].....2025-08-11 07:16:25 UTC</t>
  </si>
  <si>
    <t>https://wikirate.org/~22208683</t>
  </si>
  <si>
    <t>https://wikirate.org/~22208675</t>
  </si>
  <si>
    <t>It is not entirely clear to me if these are all the policies and codes of conduct that they have, but it seems to be the main ones they refer to in their sustainability report. Laureen van Breen[https://wikirate.org/Laureen_van_Breen].....2025-08-11 08:06:52 UTC</t>
  </si>
  <si>
    <t>https://wikirate.org/~22208968</t>
  </si>
  <si>
    <t>https://wikirate.org/~22208959</t>
  </si>
  <si>
    <t>https://wikirate.org/~22209131</t>
  </si>
  <si>
    <t>https://wikirate.org/~22209123</t>
  </si>
  <si>
    <t>https://wikirate.org/~22209240</t>
  </si>
  <si>
    <t>https://wikirate.org/~22209360</t>
  </si>
  <si>
    <t>https://wikirate.org/~22209444</t>
  </si>
  <si>
    <t>https://www.schaeffler.com/en/group/sustainability/ Lucia Ixtacuy[https://wikirate.org/Lucia_Ixtacuy].....2025-08-11 14:44:15 UTC</t>
  </si>
  <si>
    <t>https://wikirate.org/~22211034</t>
  </si>
  <si>
    <t>https://wikirate.org/~22211027</t>
  </si>
  <si>
    <t>https://wikirate.org/~22211547</t>
  </si>
  <si>
    <t>https://wikirate.org/~22211540</t>
  </si>
  <si>
    <t>https://www.krones.com/en/company/responsibility/downloads.php Yohann[https://wikirate.org/Yohann].....2025-08-13 15:26:01 UTC</t>
  </si>
  <si>
    <t>https://wikirate.org/~22211685</t>
  </si>
  <si>
    <t>https://wikirate.org/~22211676</t>
  </si>
  <si>
    <t>https://www.henkel.com/company/downloads-and-publications</t>
  </si>
  <si>
    <t>https://www.henkel.com/company/downloads-and-publications Yohann[https://wikirate.org/Yohann].....2025-08-13 16:11:03 UTC</t>
  </si>
  <si>
    <t>https://wikirate.org/~22218165</t>
  </si>
  <si>
    <t>https://wikirate.org/~22218156</t>
  </si>
  <si>
    <t>https://www.enbw.com/sustainability/sustainability-management/esg-policies.html</t>
  </si>
  <si>
    <t>Download center does not provide docs such as "code of conduct" have to go to this link: https://www.enbw.com/sustainability/sustainability-management/esg-policies.html Yohann[https://wikirate.org/Yohann].....2025-08-14 10:34:55 UTC</t>
  </si>
  <si>
    <t>https://wikirate.org/~22218669</t>
  </si>
  <si>
    <t>https://wikirate.org/~22218776</t>
  </si>
  <si>
    <t>https://wikirate.org/~22218769</t>
  </si>
  <si>
    <t>https://wikirate.org/~22218814</t>
  </si>
  <si>
    <t>https://wikirate.org/~22218801</t>
  </si>
  <si>
    <t>https://www.hella.com/en/Company/Compliance-258/</t>
  </si>
  <si>
    <t>https://www.hella.com/en/Company/Compliance-258/ I found the code of conduct (p. 101 they mention it) as well as other policies referred to in the annual report however I'm not sure if there are all there. Yohann[https://wikirate.org/Yohann].....2025-08-14 15:59:45 UTC</t>
  </si>
  <si>
    <t>https://wikirate.org/~22218914</t>
  </si>
  <si>
    <t>https://wikirate.org/~22218907</t>
  </si>
  <si>
    <t>https://about.deere.com/en-us/explore-john-deere/ethics-compliance/?adobe_mc=MCORGID%3D8CC867C25245ADC30A490D4C%2540AdobeOrg%7CTS%3D1755190156. Yohann[https://wikirate.org/Yohann].....2025-08-14 16:52:14 UTC Current policies and documents are available, but I can't see the archive. Aureliane[https://wikirate.org/Aureliane].....2025-08-27 09:30:29 UTC</t>
  </si>
  <si>
    <t>https://wikirate.org/~22218992</t>
  </si>
  <si>
    <t>https://www.amprion.net/Amprion/Sustainability/Downloads/ Could not find any archive with documents such as code of conduct on their website. Yohann[https://wikirate.org/Yohann].....2025-08-14 19:29:44 UTC</t>
  </si>
  <si>
    <t>https://wikirate.org/~22219115</t>
  </si>
  <si>
    <t>https://wikirate.org/~22219108</t>
  </si>
  <si>
    <t>https://www.boehringer-ingelheim.com/about-us/ethics-and-compliance Yohann[https://wikirate.org/Yohann].....2025-08-15 10:51:42 UTC</t>
  </si>
  <si>
    <t>https://wikirate.org/~22219253</t>
  </si>
  <si>
    <t>https://wikirate.org/~22219245</t>
  </si>
  <si>
    <t>https://wikirate.org/~22219616</t>
  </si>
  <si>
    <t>https://wikirate.org/~21496886</t>
  </si>
  <si>
    <t>https://wikirate.org/~22219711</t>
  </si>
  <si>
    <t>Listed under "Policies" towards the bottom of the page Thomas Howie[https://wikirate.org/Thomas_Howie].....2025-08-15 14:46:16 UTC</t>
  </si>
  <si>
    <t>https://wikirate.org/~22246004</t>
  </si>
  <si>
    <t>https://wikirate.org/~22245997</t>
  </si>
  <si>
    <t>https://wikirate.org/~22246097</t>
  </si>
  <si>
    <t>https://wikirate.org/~22246231</t>
  </si>
  <si>
    <t>https://wikirate.org/~22246218</t>
  </si>
  <si>
    <t>https://wikirate.org/~22246365</t>
  </si>
  <si>
    <t>https://wikirate.org/~22246358</t>
  </si>
  <si>
    <t>Link to code of conduct as well as human rights policy and a few other documents. It is not clear if they is an exhaustive list. Laureen van Breen[https://wikirate.org/Laureen_van_Breen].....2025-08-19 12:20:22 UTC</t>
  </si>
  <si>
    <t>https://wikirate.org/~22246519</t>
  </si>
  <si>
    <t>https://wikirate.org/~22246613</t>
  </si>
  <si>
    <t>https://wikirate.org/~22246606</t>
  </si>
  <si>
    <t>There is a page that seems to summarize most of the policies and code of conduct, but there is no archive or library of policies and codes. Laureen van Breen[https://wikirate.org/Laureen_van_Breen].....2025-08-19 19:50:07 UTC</t>
  </si>
  <si>
    <t>https://wikirate.org/~22246749</t>
  </si>
  <si>
    <t>https://wikirate.org/~22246741</t>
  </si>
  <si>
    <t>There is also an archive but it's of sustainability reports, not the codes of conduct and policies. Those are only the current versions. Laureen van Breen[https://wikirate.org/Laureen_van_Breen].....2025-08-20 07:16:22 UTC</t>
  </si>
  <si>
    <t>https://wikirate.org/~22246865</t>
  </si>
  <si>
    <t>https://wikirate.org/~22246850</t>
  </si>
  <si>
    <t>The policies are on one page and the code of conduct another but they do have an overview. Laureen van Breen[https://wikirate.org/Laureen_van_Breen].....2025-08-20 08:37:27 UTC</t>
  </si>
  <si>
    <t>https://wikirate.org/~22247000</t>
  </si>
  <si>
    <t>https://wikirate.org/~22246983</t>
  </si>
  <si>
    <t>https://wikirate.org/~22247175</t>
  </si>
  <si>
    <t>https://wikirate.org/~22247157</t>
  </si>
  <si>
    <t>Links to codes of conduct in the report go straight to the PDF, I couldn't find a list of documents on their website Thomas Howie[https://wikirate.org/Thomas_Howie].....2025-08-20 10:24:07 UTC</t>
  </si>
  <si>
    <t>https://wikirate.org/~22247781</t>
  </si>
  <si>
    <t>https://wikirate.org/~22247762</t>
  </si>
  <si>
    <t>Found no evidence of an archive or library of their code of conduct(s) or policies. Laureen van Breen[https://wikirate.org/Laureen_van_Breen].....2025-08-21 09:25:30 UTC</t>
  </si>
  <si>
    <t>https://wikirate.org/~22249881</t>
  </si>
  <si>
    <t>Under Sustainability -&gt; Human Rights -&gt; there is a list of reports to download at the bottom of the page. It contains the latest Supplier Code of Conduct and Human Rights Statement. More reports are available under the "Supply Chain" sections. Aureliane[https://wikirate.org/Aureliane].....2025-09-01 10:15:52 UTC</t>
  </si>
  <si>
    <t>https://wikirate.org/~22250758</t>
  </si>
  <si>
    <t>https://wikirate.org/~22250751</t>
  </si>
  <si>
    <t>On this page I could find the latest Grundsatzerkl√§rung (Human Rights Policy), Verhaltenskodex, and LksG Bericht Aureliane[https://wikirate.org/Aureliane].....2025-08-28 10:42:11 UTC</t>
  </si>
  <si>
    <t>https://wikirate.org/~21483534</t>
  </si>
  <si>
    <t>Wikirate International e.V.+Level of assurance</t>
  </si>
  <si>
    <t>Limited assurance</t>
  </si>
  <si>
    <t>page 417 Anna Diwo[https://wikirate.org/Anna_Diwo].....2025-06-01 13:37:41 UTC The audit report of the sustainability statement is on page 370-372 Interestingly they have done a combination of limited and reasonable assurance, pinpoint which data points have reasonable assurance (p. 370) Laureen van Breen[https://wikirate.org/Laureen_van_Breen].....2025-07-31 09:40:11 UTC</t>
  </si>
  <si>
    <t>https://wikirate.org/~21484469</t>
  </si>
  <si>
    <t>Reasonable assurance</t>
  </si>
  <si>
    <t>p.328 "In our opinion, the financial statements give a true and fair view of the financial position of Airbus SE as at 31 December 2024 and of its result and its cash flows for 2024 in accordance with International Financial Reporting Standards as adopted in the European Union (EU-IFRSs) and with Part 9 of Book 2 of the Dutch Civil Code." Lucia Ixtacuy[https://wikirate.org/Lucia_Ixtacuy].....2025-07-17 13:22:52 UTC p. 97 "In our opinion, the annual report, prepared in the XHTML format, including the partially marked- up consolidated financial statements, as included in the reporting package by Airbus SE, complies in all material respects with the RTS on ESEF.... The board of directors is responsible for preparing the annual report, including the financial statements, in accordance with the RTS on ESEF, whereby the board of directors combines the various components into a single reporting package.Our responsibility is to obtain reasonable assurance for our opinion whether the annual report in this reporting...</t>
  </si>
  <si>
    <t>https://wikirate.org/~21484965</t>
  </si>
  <si>
    <t>We have conducted a limited assurance engagement on the Sustainability Statement of BASF SE, Ludwigshafen am Rhein/Germany, combining the Consolidated Sustainability Statement and the nonfinancial statement of the parent (‚ÄúCombined Sustainability Statement‚Äù), included in section ‚Äú(Consolidated) Sustainability Statement‚Äù of the combined management report for the parent and the group, for the financial year from January 1, 2024 to December 31, 2024. p. 457 Laureen van Breen[https://wikirate.org/Laureen_van_Breen].....2025-08-08 09:25:28 UTC</t>
  </si>
  <si>
    <t>https://wikirate.org/~21485329</t>
  </si>
  <si>
    <t>page 661 Sina Kirsch[https://wikirate.org/Sina_Kirsch].....2025-06-08 21:26:41 UTC both limited and reasonable. p. 661 of the report. It is not possible to select to answer. Lucia Ixtacuy[https://wikirate.org/Lucia_Ixtacuy].....2025-08-25 15:48:36 UTC</t>
  </si>
  <si>
    <t>https://wikirate.org/~21485591</t>
  </si>
  <si>
    <t>"We have conducted a limited assurance engagement on the group sustainability statement of Mercedes- Benz Group AG, Stuttgart, (hereinafter the ‚ÄúCompany‚Äù) taking into account, as set forth in the subsequent paragraph, the reasonable assurance engagement on the disclosures marked with * in the group sustainability statement included in section ‚ÄúSustainability Statement‚Äù of the group management report, which is combined with the Company‚Äôs management report, for the financial year from 1 January to 31 December 2024 (hereinafter the ‚ÄúGroup Sustainability Statement‚Äù). " p.444 Lucia Ixtacuy[https://wikirate.org/Lucia_Ixtacuy].....2025-08-05 12:44:27 UTC</t>
  </si>
  <si>
    <t>https://wikirate.org/~21486540</t>
  </si>
  <si>
    <t>p.217 Aureliane[https://wikirate.org/Aureliane].....2025-08-29 15:24:02 UTC</t>
  </si>
  <si>
    <t>https://wikirate.org/~21486715</t>
  </si>
  <si>
    <t>https://wikirate.org/~21487460</t>
  </si>
  <si>
    <t>page 14 Luisa Valandro[https://wikirate.org/Luisa_Valandro].....2025-06-10 16:51:06 UTC</t>
  </si>
  <si>
    <t>https://wikirate.org/~21487997</t>
  </si>
  <si>
    <t>p. 301 "We have conducted a limited assurance engagement on the Group Sustainability Statement" Yohann[https://wikirate.org/Yohann].....2025-08-13 14:49:28 UTC</t>
  </si>
  <si>
    <t>https://wikirate.org/~21488134</t>
  </si>
  <si>
    <t>p. 272. Lucia Ixtacuy[https://wikirate.org/Lucia_Ixtacuy].....2025-08-06 15:08:51 UTC</t>
  </si>
  <si>
    <t>https://wikirate.org/~22205842</t>
  </si>
  <si>
    <t>p14 (pdf viewer p17) "The auditor reported on the main results of the audits of financial and sustainability reporting (the latter with limited audit assurance) and was available to provide additional information to the Audit Committee and the Supervisory Board" Thomas Howie[https://wikirate.org/Thomas_Howie].....2025-08-06 15:25:15 UTC</t>
  </si>
  <si>
    <t>https://wikirate.org/~22205919</t>
  </si>
  <si>
    <t>No assurance given</t>
  </si>
  <si>
    <t>https://wikirate.org/~22206573</t>
  </si>
  <si>
    <t>P289: "Our objectives are to obtain reasonable assurance about whether the consolidated financial statements as a whole are free from material misstatement, whether due to fraud or error, and whether the combined management report as a whole provides an appropriate view of the Group‚Äôs position and, in all material respects, is consistent with the consolidated financial statements and the knowledge obtained in the audit, complies with the German legal requirements and appropriately presents the opportunities and risks of future development, as well as to issue an auditor‚Äôs report that includes our opinions on the consolidated financial statements and on the combined management report." Marc McGowan[https://wikirate.org/Marc_McGowan].....2025-08-07 14:44:24 UTC</t>
  </si>
  <si>
    <t>https://wikirate.org/~22207066</t>
  </si>
  <si>
    <t>"We have performed a limited assurance engagement on the disclosures in the sustainability report in chapter 1 to 7.2 of the ‚ÄúSustainability report 2024‚Äù of Siemens Aktiengesellschaft, Berlin and Munich, (hereinafter ‚Äúthe Company‚Äù), for the period from 1 October 2023 to 30 September 2024 (hereinafter the ‚ÄúReport‚Äù)." Lucia Ixtacuy[https://wikirate.org/Lucia_Ixtacuy].....2025-08-08 16:11:09 UTC</t>
  </si>
  <si>
    <t>https://wikirate.org/~22207099</t>
  </si>
  <si>
    <t>https://wikirate.org/~22208631</t>
  </si>
  <si>
    <t>"We have performed a reasonable assurance engagement on selected key performance indicators and statements within the sustainability report of Robert Bosch Gesellschaft mit beschr√§nkter Haftung, Stuttgart (hereinafter the ‚ÄúCompany‚Äù), which are marked with the ‚ÄúÓ¢ë‚Äù symbol in the sustainability report, for the period from January 1 to December 31, 2024 (hereinafter ‚Äúselected disclosures‚Äù). Our engagement exclusively refers to the selected disclosures marked with the ‚ÄúÓ¢ë‚Äù symbol in the German pdf version of the sustainability report. " (p. 111) The symbol did not copy/paste well - it's a blue tickmark. Laureen van Breen[https://wikirate.org/Laureen_van_Breen].....2025-08-11 07:50:12 UTC</t>
  </si>
  <si>
    <t>https://wikirate.org/~22208700</t>
  </si>
  <si>
    <t>Limited assurance, Reasonable assurance</t>
  </si>
  <si>
    <t>P65: outlines that the report was validated with limited assurance, but some datapoints with reasonable assurance Marc McGowan[https://wikirate.org/Marc_McGowan].....2025-08-11 08:10:50 UTC</t>
  </si>
  <si>
    <t>https://wikirate.org/~22208751</t>
  </si>
  <si>
    <t>"We have performed a limited assurance engagement on the 2024 Sustainability Report of MAHLE GmbH, Stuttgart (hereinafter ‚Äúthe Company‚Äù), for the period from 1 January to 31 December 2024 (hereinafter the ‚ÄúReport‚Äù)." (p. 60) Laureen van Breen[https://wikirate.org/Laureen_van_Breen].....2025-08-11 08:27:31 UTC</t>
  </si>
  <si>
    <t>https://wikirate.org/~22209039</t>
  </si>
  <si>
    <t>"An external audit of the content was not performed." (p. 60) Laureen van Breen[https://wikirate.org/Laureen_van_Breen].....2025-08-11 12:27:58 UTC</t>
  </si>
  <si>
    <t>https://wikirate.org/~22209303</t>
  </si>
  <si>
    <t>https://wikirate.org/~22209433</t>
  </si>
  <si>
    <t>https://wikirate.org/~22210576</t>
  </si>
  <si>
    <t>"The following qualitative and quantitative disclosures in the Sustainability Report, marked with {}, were subjected to an audit in accordance with the International Standard on Assurance Engagements ISAE 3000 (Revised)‚Äú Assurance Engagements Other than Audits or Reviews of Historical Financial Information‚Äù to achieve reasonable assurance." p. 87 Lucia Ixtacuy[https://wikirate.org/Lucia_Ixtacuy].....2025-08-13 08:48:17 UTC</t>
  </si>
  <si>
    <t>https://wikirate.org/~22211631</t>
  </si>
  <si>
    <t>p. 329 first paragraph Yohann[https://wikirate.org/Yohann].....2025-08-13 15:55:12 UTC</t>
  </si>
  <si>
    <t>https://wikirate.org/~22211738</t>
  </si>
  <si>
    <t>"We have conducted a limited assurance engagement on the combined separate non-financial report of Henkel AG &amp; Co. KGaA, D√ºsseldorf, (hereinafter the ‚ÄûCompany‚Äú) to comply with ¬ß¬ß [Articles] 289b to 289e HGB [Handelsgesetzbuch: German Commercial Code] and ¬ß¬ß 315b to 315c HGB including the disclosures contained in this combined separate non-financial report to fulfil the requirements of Article 8 of Regulation (EU) 2020/852 (hereinafter the ‚ÄûCombined Non-Financial Reporting‚Äú) for the financial year from 1 January to 31 December 2024." p. 314 Yohann[https://wikirate.org/Yohann].....2025-08-13 16:40:09 UTC</t>
  </si>
  <si>
    <t>https://wikirate.org/~22218211</t>
  </si>
  <si>
    <t>https://wikirate.org/~22218520</t>
  </si>
  <si>
    <t>p. 331 "To D√ºrr Aktiengesellschaft, Stuttgart/Germany ASSURANCE CONCLUSION We have conducted a limited assurance engagement on the consolidated sustainability statement of D√ºrr Aktiengesellschaft, Stuttgart/Germany, included in the reporting segment 7 Sustainability Statement of the combined management report on the parent and the group (hereinafter referred to as Sustainability Statement‚Äù) for the financial year from January 1 to December 31, 2024. " Lucia Ixtacuy[https://wikirate.org/Lucia_Ixtacuy].....2025-08-14 14:08:54 UTC</t>
  </si>
  <si>
    <t>https://wikirate.org/~22218860</t>
  </si>
  <si>
    <t>p. 199 Yohann[https://wikirate.org/Yohann].....2025-08-14 16:27:53 UTC</t>
  </si>
  <si>
    <t>https://wikirate.org/~22218959</t>
  </si>
  <si>
    <t>"Reasonable (Scope 1 and 2 GHG Emissions, Total Energy, Renewable Energy, Water Consumption (Fiscal Years 2022 and 2023), Waste (Fiscal Year 2023)) ‚Ä¢ Limited (Scope 3 GHG Emissions, Safety, Waste (Fiscal Years 2022 and 2024), Water (Fiscal Year 2024), Waste Intensity, Water Intensity)" p. 56 The assurance only applies to some sustainability metrics. Yohann[https://wikirate.org/Yohann].....2025-08-14 17:19:15 UTC</t>
  </si>
  <si>
    <t>https://wikirate.org/~22219034</t>
  </si>
  <si>
    <t>https://wikirate.org/~22219158</t>
  </si>
  <si>
    <t>https://wikirate.org/~22219269</t>
  </si>
  <si>
    <t>https://wikirate.org/~22219891</t>
  </si>
  <si>
    <t>p7 (p11 in PDF viewer) "PricewaterhouseCoopers GmbH Wirtschaftspr√ºfungsgesellschaft, D√ºsseldorf, also audited the 2024 Group Sustainability Report (in full compliance with the ESRS) and issued an unqualified audit opinion as part of the limited assurance engagement." Thomas Howie[https://wikirate.org/Thomas_Howie].....2025-08-15 15:12:47 UTC p. 99 "In addition to the legally prescribed audit of the combined consolidated financial statements and Group Man- agement Report, Uniper‚Äôs Supervisory Board (together with the Board of Management) has asked an external auditing firm to perform an audit to attain limited assurance of the Group Sustainability Report based on a voluntary engagement. " Lucia Ixtacuy[https://wikirate.org/Lucia_Ixtacuy].....2025-08-21 15:39:45 UTC</t>
  </si>
  <si>
    <t>https://wikirate.org/~22219897</t>
  </si>
  <si>
    <t>P15: " The sustainability statement, which is integrated into the combined management report, was audited with limited assurance by Deloitte GmbH Wirtschaftspr√ºfungsgesellschaft" Marc McGowan[https://wikirate.org/Marc_McGowan].....2025-08-15 15:15:01 UTC</t>
  </si>
  <si>
    <t>https://wikirate.org/~22246055</t>
  </si>
  <si>
    <t>P49: "This Group non-financial statement is subject to a voluntary limited assurance engagement" Marc McGowan[https://wikirate.org/Marc_McGowan].....2025-08-19 07:51:00 UTC</t>
  </si>
  <si>
    <t>https://wikirate.org/~22246138</t>
  </si>
  <si>
    <t>https://wikirate.org/~22246331</t>
  </si>
  <si>
    <t>p411 Sustainability Statement Our objective is to express a limited assurance conclusion, based on t he assurance engagement we have conducted, on whether any matters have come to our attention that cause us to believe that the Group Sustainability Statement has not been prepared, in all material respects, in accordance with the CSRD, the applicable German legal and other European requirements and the supplementary criteria presented by the company‚Äôs executive directors, and to issue an assurance report that includes our assurance conclusion on the Group Sustainability Statement. Thomas Howie[https://wikirate.org/Thomas_Howie].....2025-08-19 12:09:22 UTC</t>
  </si>
  <si>
    <t>https://wikirate.org/~22246431</t>
  </si>
  <si>
    <t>p. 77 Laureen van Breen[https://wikirate.org/Laureen_van_Breen].....2025-08-19 12:39:26 UTC "No external review has been performed." Lucia Ixtacuy[https://wikirate.org/Lucia_Ixtacuy].....2025-09-12 11:03:29 UTC</t>
  </si>
  <si>
    <t>https://wikirate.org/~22246669</t>
  </si>
  <si>
    <t>https://wikirate.org/~22246804</t>
  </si>
  <si>
    <t>"We have conducted a limited assurance engagement on the Sustainability Statement of MERCK Kommanditgesellschaft auf Aktien, Darmstadt, Germany, combining the Group Sustainability Statement and the non-financial statement of the partent (‚Äúthe Combined Sustainability Statement‚Äù), included in the section ‚Äú(Group) Sustainability Statement‚Äù of the combined management report for the parent and the group, for the financial year from January 1 to December 31, 2024." (p. 508) Laureen van Breen[https://wikirate.org/Laureen_van_Breen].....2025-08-20 08:10:21 UTC</t>
  </si>
  <si>
    <t>https://wikirate.org/~22246945</t>
  </si>
  <si>
    <t>p. 318 Laureen van Breen[https://wikirate.org/Laureen_van_Breen].....2025-08-20 09:23:13 UTC p. 318 "Assurance report of the independent German Public Auditor on a limited assurance engagement in relation to the Consolidated Sustainability Statement" Lucia Ixtacuy[https://wikirate.org/Lucia_Ixtacuy].....2025-09-11 16:15:31 UTC</t>
  </si>
  <si>
    <t>https://wikirate.org/~22247050</t>
  </si>
  <si>
    <t>https://wikirate.org/~22247130</t>
  </si>
  <si>
    <t>p2 "DNV, an independent, third-party assurance provider, supplied a moderate level of assurance for this report under the AA1000 Assurance Standard (AA1000AS). This includes performance on the Lockheed Martin 2025 SMP goals and relevant ISSB and GRI indicators. Verification details can be found in the 2024 Assurance Statement, which is available on our Disclosure Hub" Thomas Howie[https://wikirate.org/Thomas_Howie].....2025-08-20 10:05:10 UTC</t>
  </si>
  <si>
    <t>https://wikirate.org/~22247408</t>
  </si>
  <si>
    <t>p87 "The information summarised in the ESRS Content Index is included in the scope of the limited assurance engagement" also, page 189 in the PDF viewer shows the full EY Limited Assurance Document Thomas Howie[https://wikirate.org/Thomas_Howie].....2025-08-20 14:22:31 UTC</t>
  </si>
  <si>
    <t>https://wikirate.org/~22247431</t>
  </si>
  <si>
    <t>https://wikirate.org/~22247422</t>
  </si>
  <si>
    <t>p354 We have conducted a limited assurance engagement on the Group Sustainability Statement, taking into account, as set forth in the subsequent paragraph, the reasonable assurance engagement on disclosures marked with a curly bracket ‚Äò{ }‚Äô in the Group Sustainability Statement included in section Group Sustainability Report of the combined management report, of Covestro AG for the financial year from January 1, 2024 to December 31, 2024. Thomas Howie[https://wikirate.org/Thomas_Howie].....2025-08-20 14:33:51 UTC</t>
  </si>
  <si>
    <t>https://wikirate.org/~22247840</t>
  </si>
  <si>
    <t>There is an auditor's report (p.234-240) but as far as I can decipher it does not cover the non-financial data. Laureen van Breen[https://wikirate.org/Laureen_van_Breen].....2025-08-21 10:00:41 UTC P234: German: ‚ÄûDar√ºber hinaus haben wir den zusammengefassten Lagebericht der GELSENWASSER AG, f√ºr das Gesch√§ftsjahr vom 1. Januar 2024 bis zum 31. Dezember 2024 gepr√ºft.‚Äú English: ‚ÄúIn addition, we have audited the combined management report of GELSENWASSER AG for the fiscal year from January 1, 2024 to December 31, 2024.‚Äù 2. Opinion on the management report German: ‚Äû‚Ä¶vermittelt der beigef√ºgte zusammengefasste Lagebericht insgesamt ein zutreffendes Bild von der Lage des Konzerns. In allen wesentlichen Belangen steht dieser zusammengefasste Lagebericht im Einklang mit dem Konzernabschluss, entspricht den deutschen gesetzlichen Vorschriften und stellt die Chancen und Risiken der zuk√ºnftigen Entwicklung zutreffend dar.‚Äú English: ‚Äú‚Ä¶the attached combined management report as a whole provides an appropriate view of th...</t>
  </si>
  <si>
    <t>https://wikirate.org/~22249948</t>
  </si>
  <si>
    <t>p326 "Reproduction of the assurance report of the independent german public auditor on a limited assurance engagement in relation to the Group Sustainability Report" Thomas Howie[https://wikirate.org/Thomas_Howie].....2025-08-27 11:43:54 UTC</t>
  </si>
  <si>
    <t>https://wikirate.org/~22250814</t>
  </si>
  <si>
    <t>https://wikirate.org/~22197846</t>
  </si>
  <si>
    <t>Wikirate International e.V.+Archive of non-financial reports</t>
  </si>
  <si>
    <t>https://wikirate.org/~22197839</t>
  </si>
  <si>
    <t>Archive of sustainability reports back to 2017 Marc McGowan[https://wikirate.org/Marc_McGowan].....2025-08-05 15:09:47 UTC</t>
  </si>
  <si>
    <t>https://wikirate.org/~22197866</t>
  </si>
  <si>
    <t>p. 3 of screenshot Lucia Ixtacuy[https://wikirate.org/Lucia_Ixtacuy].....2025-08-05 15:27:57 UTC Added the actual archive page as a Source as well now Laureen van Breen[https://wikirate.org/Laureen_van_Breen].....2025-09-01 13:19:36 UTC</t>
  </si>
  <si>
    <t>https://wikirate.org/~22204324</t>
  </si>
  <si>
    <t>https://wikirate.org/~22249324</t>
  </si>
  <si>
    <t>Annual and quarterly reports are available till 2014 Marc McGowan[https://wikirate.org/Marc_McGowan].....2025-08-06 07:52:26 UTC</t>
  </si>
  <si>
    <t>https://wikirate.org/~22205638</t>
  </si>
  <si>
    <t>https://wikirate.org/~22206194</t>
  </si>
  <si>
    <t>https://wikirate.org/~22206187</t>
  </si>
  <si>
    <t>Archived reports back to 2001 available Marc McGowan[https://wikirate.org/Marc_McGowan].....2025-08-07 10:21:56 UTC</t>
  </si>
  <si>
    <t>https://wikirate.org/~22206353</t>
  </si>
  <si>
    <t>https://wikirate.org/~22206399</t>
  </si>
  <si>
    <t>https://wikirate.org/~22206972</t>
  </si>
  <si>
    <t>https://wikirate.org/~22206965</t>
  </si>
  <si>
    <t>Reports available back to 2018 Marc McGowan[https://wikirate.org/Marc_McGowan].....2025-08-08 14:11:00 UTC</t>
  </si>
  <si>
    <t>https://wikirate.org/~22208547</t>
  </si>
  <si>
    <t>https://wikirate.org/~22208666</t>
  </si>
  <si>
    <t>https://wikirate.org/~22208918</t>
  </si>
  <si>
    <t>https://wikirate.org/~22208910</t>
  </si>
  <si>
    <t>https://wikirate.org/~22209086</t>
  </si>
  <si>
    <t>https://www.siemens.com/global/en/company/sustainability/reports-figures.html Lucia Ixtacuy[https://wikirate.org/Lucia_Ixtacuy].....2025-08-11 12:34:29 UTC</t>
  </si>
  <si>
    <t>https://wikirate.org/~22209213</t>
  </si>
  <si>
    <t>https://www.schaeffler.com/en/group/sustainability/ Lucia Ixtacuy[https://wikirate.org/Lucia_Ixtacuy].....2025-08-11 13:26:31 UTC</t>
  </si>
  <si>
    <t>https://wikirate.org/~22209229</t>
  </si>
  <si>
    <t>https://wikirate.org/~22209350</t>
  </si>
  <si>
    <t>https://wikirate.org/~22210609</t>
  </si>
  <si>
    <t>https://wikirate.org/~22210602</t>
  </si>
  <si>
    <t>https://www.daimlertruck.com/en/sustainability/reportings Yohann[https://wikirate.org/Yohann].....2025-08-13 09:44:03 UTC</t>
  </si>
  <si>
    <t>https://wikirate.org/~22211012</t>
  </si>
  <si>
    <t>They don't list all reports on a single webpage that I could find. I could find previous years by using a web search. Here are two examples of annual reports i found https://report.covestro.com/annual-report-2023/services/downloads.html https://report.covestro.com/annual-report-2022/ Thomas Howie[https://wikirate.org/Thomas_Howie].....2025-08-13 12:45:25 UTC</t>
  </si>
  <si>
    <t>https://wikirate.org/~22211492</t>
  </si>
  <si>
    <t>https://wikirate.org/~22211667</t>
  </si>
  <si>
    <t>https://www.henkel.com/investors-and-analysts/financial-reports/annual-reports Yohann[https://wikirate.org/Yohann].....2025-08-13 16:02:18 UTC https://www.henkel.com/sustainability/sustainability-report Yohann[https://wikirate.org/Yohann].....2025-08-13 16:16:35 UTC</t>
  </si>
  <si>
    <t>https://wikirate.org/~22218147</t>
  </si>
  <si>
    <t>https://wikirate.org/~22218138</t>
  </si>
  <si>
    <t>https://www.enbw.com/company/downloadcenter/search-results-downloadcenter.html?s=Annual%20Report&amp;tab=Downloads&amp;entries=5</t>
  </si>
  <si>
    <t>https://www.enbw.com/company/downloadcenter/search-results-downloadcenter.html?s=Annual%20Report&amp;tab=Downloads&amp;entries=5 Yohann[https://wikirate.org/Yohann].....2025-08-14 10:28:04 UTC Archive of "integrated annual reports" Aureliane[https://wikirate.org/Aureliane].....2025-08-27 12:56:31 UTC</t>
  </si>
  <si>
    <t>https://wikirate.org/~22218528</t>
  </si>
  <si>
    <t>https://wikirate.org/~22218599</t>
  </si>
  <si>
    <t>https://wikirate.org/~22218743</t>
  </si>
  <si>
    <t>https://wikirate.org/~22218793</t>
  </si>
  <si>
    <t>https://www.hella.com/en/Investor-Relations/Publications-266/?presstype=ar Yohann[https://wikirate.org/Yohann].....2025-08-14 15:54:16 UTC</t>
  </si>
  <si>
    <t>https://wikirate.org/~22218889</t>
  </si>
  <si>
    <t>can change date at the top: https://investor.deere.com/Sustainability-Reports/default.aspx Yohann[https://wikirate.org/Yohann].....2025-08-14 16:44:09 UTC 2021-2024 Lucia Ixtacuy[https://wikirate.org/Lucia_Ixtacuy].....2025-09-11 11:32:51 UTC</t>
  </si>
  <si>
    <t>https://wikirate.org/~22218982</t>
  </si>
  <si>
    <t>https://www.amprion.net/Amprion/Sustainability/Downloads/ Yohann[https://wikirate.org/Yohann].....2025-08-14 19:23:51 UTC</t>
  </si>
  <si>
    <t>https://wikirate.org/~22219092</t>
  </si>
  <si>
    <t>https://wikirate.org/~22219074</t>
  </si>
  <si>
    <t>https://www.boehringer-ingelheim.com/annualreport/2024/</t>
  </si>
  <si>
    <t>https://www.boehringer-ingelheim.com/annualreport/2024/ Yohann[https://wikirate.org/Yohann].....2025-08-15 10:43:23 UTC Archive of annual reports Aureliane[https://wikirate.org/Aureliane].....2025-08-27 12:37:24 UTC</t>
  </si>
  <si>
    <t>https://wikirate.org/~22219166</t>
  </si>
  <si>
    <t>https://wikirate.org/~22219204</t>
  </si>
  <si>
    <t>https://investors.hensoldt.net/publications Lucia Ixtacuy[https://wikirate.org/Lucia_Ixtacuy].....2025-08-15 11:25:50 UTC</t>
  </si>
  <si>
    <t>https://wikirate.org/~22219292</t>
  </si>
  <si>
    <t>https://wikirate.org/~22219569</t>
  </si>
  <si>
    <t>https://wikirate.org/~22219562</t>
  </si>
  <si>
    <t>https://wikirate.org/~22219693</t>
  </si>
  <si>
    <t>Listed under "Find all our Sustainability Reports" Thomas Howie[https://wikirate.org/Thomas_Howie].....2025-08-15 14:43:44 UTC https://www.uniper.energy/sustainability/sustainability-resources/publications-downloads Lucia Ixtacuy[https://wikirate.org/Lucia_Ixtacuy].....2025-08-21 14:57:20 UTC</t>
  </si>
  <si>
    <t>https://wikirate.org/~22245849</t>
  </si>
  <si>
    <t>https://wikirate.org/~22245842</t>
  </si>
  <si>
    <t>The year can be selected from the drop-down menu for reports from previous years Marc McGowan[https://wikirate.org/Marc_McGowan].....2025-08-18 12:07:43 UTC</t>
  </si>
  <si>
    <t>https://wikirate.org/~22245988</t>
  </si>
  <si>
    <t>https://wikirate.org/~22246087</t>
  </si>
  <si>
    <t>https://www.50hertz.com/Media/Medialibrary I didn't find previous non-financial report on their website Yohann[https://wikirate.org/Yohann].....2025-08-19 09:29:28 UTC</t>
  </si>
  <si>
    <t>https://wikirate.org/~22246209</t>
  </si>
  <si>
    <t>https://wikirate.org/~22246320</t>
  </si>
  <si>
    <t>Only current reports Laureen van Breen[https://wikirate.org/Laureen_van_Breen].....2025-08-19 12:06:07 UTC</t>
  </si>
  <si>
    <t>https://wikirate.org/~22246482</t>
  </si>
  <si>
    <t>https://wikirate.org/~22246475</t>
  </si>
  <si>
    <t>https://www.eon.com/en/about-us/sustainability/download-center.html Aureliane[https://wikirate.org/Aureliane].....2025-08-29 15:07:46 UTC</t>
  </si>
  <si>
    <t>https://wikirate.org/~22246503</t>
  </si>
  <si>
    <t>https://wikirate.org/~22246591</t>
  </si>
  <si>
    <t>https://wikirate.org/~22246731</t>
  </si>
  <si>
    <t>https://wikirate.org/~22246835</t>
  </si>
  <si>
    <t>https://wikirate.org/~22246979</t>
  </si>
  <si>
    <t>https://wikirate.org/~22247164</t>
  </si>
  <si>
    <t>https://wikirate.org/~22247770</t>
  </si>
  <si>
    <t>https://wikirate.org/~22247724</t>
  </si>
  <si>
    <t>I was able to find an archive of annual reports, but before 2024 these did not include any non-financial data. I also found the Sustainability report for 2023 on the website, but nothing older. In a google search I did manage to find direct links to older susty reports but I could not find an archive on their website. Laureen van Breen[https://wikirate.org/Laureen_van_Breen].....2025-08-21 09:19:27 UTC</t>
  </si>
  <si>
    <t>https://wikirate.org/~22249870</t>
  </si>
  <si>
    <t>https://wikirate.org/~22250740</t>
  </si>
  <si>
    <t>https://wikirate.org/~22250727</t>
  </si>
  <si>
    <t>Sustainability and annual reports from previous years are stored on the website. Sustainability reports can be accessed by looking in the media library or searching for the report title. Aureliane[https://wikirate.org/Aureliane].....2025-08-28 10:26:16 UTC</t>
  </si>
  <si>
    <t>https://wikirate.org/~22197714</t>
  </si>
  <si>
    <t>Wikirate International e.V.+Aligned page numbering</t>
  </si>
  <si>
    <t>https://wikirate.org/~22197872</t>
  </si>
  <si>
    <t>https://wikirate.org/~22204344</t>
  </si>
  <si>
    <t>https://wikirate.org/~22205722</t>
  </si>
  <si>
    <t>https://wikirate.org/~22205746</t>
  </si>
  <si>
    <t>They misalign by three pages Thomas Howie[https://wikirate.org/Thomas_Howie].....2025-08-06 14:50:35 UTC</t>
  </si>
  <si>
    <t>https://wikirate.org/~22205886</t>
  </si>
  <si>
    <t>The format of the impact report is 2 pages per PDF page. Therefore, the numbering is not aligned with the numbering of the PDF viewer. Lucia Ixtacuy[https://wikirate.org/Lucia_Ixtacuy].....2025-08-06 15:45:28 UTC</t>
  </si>
  <si>
    <t>https://wikirate.org/~22206264</t>
  </si>
  <si>
    <t>https://wikirate.org/~22206439</t>
  </si>
  <si>
    <t>https://wikirate.org/~22207020</t>
  </si>
  <si>
    <t>1 page difference Thomas Howie[https://wikirate.org/Thomas_Howie].....2025-09-02 12:40:18 UTC Re-checked, PDF viewer glitch: seems to be slightly out sometimes to report. Thomas Howie[https://wikirate.org/Thomas_Howie].....2025-09-02 12:46:33 UTC</t>
  </si>
  <si>
    <t>https://wikirate.org/~22207089</t>
  </si>
  <si>
    <t>https://wikirate.org/~22208576</t>
  </si>
  <si>
    <t>https://wikirate.org/~22208706</t>
  </si>
  <si>
    <t>https://wikirate.org/~22208984</t>
  </si>
  <si>
    <t>https://wikirate.org/~22209256</t>
  </si>
  <si>
    <t>https://wikirate.org/~22209376</t>
  </si>
  <si>
    <t>The PDF download is one "chapter" of their Report for 2024. P1 in the PDF viewer is page 35 in their report Thomas Howie[https://wikirate.org/Thomas_Howie].....2025-08-11 14:30:09 UTC</t>
  </si>
  <si>
    <t>https://wikirate.org/~22209467</t>
  </si>
  <si>
    <t>https://wikirate.org/~22210522</t>
  </si>
  <si>
    <t>p. 100 "The reporting periods of the Sustainability Statement and financial reporting are identical and correspond to the calendar year 2024. " Lucia Ixtacuy[https://wikirate.org/Lucia_Ixtacuy].....2025-08-13 08:20:53 UTC</t>
  </si>
  <si>
    <t>https://wikirate.org/~22210616</t>
  </si>
  <si>
    <t>have a look p. 2 it's indicated at the top, so there is no mismatch. Yohann[https://wikirate.org/Yohann].....2025-08-13 09:58:16 UTC</t>
  </si>
  <si>
    <t>https://wikirate.org/~22211050</t>
  </si>
  <si>
    <t>https://wikirate.org/~22211576</t>
  </si>
  <si>
    <t>Misaligned by 1 page Aureliane[https://wikirate.org/Aureliane].....2025-08-26 15:00:30 UTC</t>
  </si>
  <si>
    <t>https://wikirate.org/~22211707</t>
  </si>
  <si>
    <t>https://wikirate.org/~22218179</t>
  </si>
  <si>
    <t>Misaligned by 1 page Aureliane[https://wikirate.org/Aureliane].....2025-08-27 13:05:22 UTC</t>
  </si>
  <si>
    <t>https://wikirate.org/~22218334</t>
  </si>
  <si>
    <t>https://wikirate.org/~22218543</t>
  </si>
  <si>
    <t>https://wikirate.org/~22218829</t>
  </si>
  <si>
    <t>https://wikirate.org/~22218929</t>
  </si>
  <si>
    <t>https://wikirate.org/~22219006</t>
  </si>
  <si>
    <t>https://wikirate.org/~22219128</t>
  </si>
  <si>
    <t>https://wikirate.org/~22219171</t>
  </si>
  <si>
    <t>https://wikirate.org/~22219302</t>
  </si>
  <si>
    <t>https://wikirate.org/~22219717</t>
  </si>
  <si>
    <t>https://wikirate.org/~22219762</t>
  </si>
  <si>
    <t>https://wikirate.org/~22245862</t>
  </si>
  <si>
    <t>https://wikirate.org/~22246020</t>
  </si>
  <si>
    <t>https://wikirate.org/~22246110</t>
  </si>
  <si>
    <t>https://wikirate.org/~22246271</t>
  </si>
  <si>
    <t>https://wikirate.org/~22246382</t>
  </si>
  <si>
    <t>https://wikirate.org/~22246409</t>
  </si>
  <si>
    <t>NB, the PDF viewer starts the page count on "2" despite being on page 1 Thomas Howie[https://wikirate.org/Thomas_Howie].....2025-08-19 12:33:51 UTC The page numbers match for me. Aureliane[https://wikirate.org/Aureliane].....2025-08-29 15:15:23 UTC</t>
  </si>
  <si>
    <t>https://wikirate.org/~22246536</t>
  </si>
  <si>
    <t>https://wikirate.org/~22246630</t>
  </si>
  <si>
    <t>https://wikirate.org/~22246766</t>
  </si>
  <si>
    <t>https://wikirate.org/~22246890</t>
  </si>
  <si>
    <t>https://wikirate.org/~22247015</t>
  </si>
  <si>
    <t>https://wikirate.org/~22247201</t>
  </si>
  <si>
    <t>https://wikirate.org/~22247799</t>
  </si>
  <si>
    <t>https://wikirate.org/~22249903</t>
  </si>
  <si>
    <t>https://wikirate.org/~22250776</t>
  </si>
  <si>
    <t>https://wikirate.org/~22197719</t>
  </si>
  <si>
    <t>Wikirate International e.V.+Reporting standards</t>
  </si>
  <si>
    <t>CSRD (ESRS), Greenhouse Gas Protocol</t>
  </si>
  <si>
    <t>"The Mercedes-Benz Group calculates and documents its greenhouse gas emissions in Scope 1 to Scope 3 in accordance with the Corporate Accounting and Reporting Standard 2004 and the Corporate Value Chain Standard 2011 of the Greenhouse Gas (GHG) Protocol initiative." p. 149 "The Mercedes-Benz Group plans to take the changes that arise in the regular cycle of the materiality assessment according to CSRD and ESRS into account in future updates of its strategic focus areas of sustainability" p. 127 "The Responsible Sourcing Standards (RSS) are the central contractual document for sustainability requirements for suppliers and represent the guard rails of supply chain management. They contain minimum requirements in the areas of environmental due diligence, climate change mitigation, resource conservation, biodiversity, deforestation and water, among others. In line with the German Supply Chain Due Diligence Act (LkSG), the Mercedes-Benz Group sets out clear sustainability requirements and more far-reaching expe...</t>
  </si>
  <si>
    <t>https://wikirate.org/~22204183</t>
  </si>
  <si>
    <t>P141: The Greenhouse Gas Protocol (GHG) used as part of calculations P277: "Decarbonization index* ‚îÇGRI 305-4 WLTP" P445: ERRS index Marc McGowan[https://wikirate.org/Marc_McGowan].....2025-08-06 07:19:51 UTC p. 478 "478 Consolidated Financial Statements Notes New and amended IFRSs not applied" Lucia Ixtacuy[https://wikirate.org/Lucia_Ixtacuy].....2025-08-25 19:22:54 UTC</t>
  </si>
  <si>
    <t>https://wikirate.org/~22204380</t>
  </si>
  <si>
    <t>P95 outlines that GRI, SASB, ESRS and several national standards are used with links to indexes used later in the report. P99: "The procedure for measuring all scopes or categories classified as relevant is firmly established in the BMW Group‚Äôs nonfinancial reporting process ‚Üó CO2e footprint, ‚Üó Materiality of the various Scope 3 categories. These metrics are reviewed internally in the event of significant changes and adjusted if necessary. It is also checked whether there are any changes or additions to the relevant categories with reference to the requirements of the Greenhouse Gas Protocol." Marc McGowan[https://wikirate.org/Marc_McGowan].....2025-08-06 08:05:21 UTC</t>
  </si>
  <si>
    <t>https://wikirate.org/~22205727</t>
  </si>
  <si>
    <t>CSRD (ESRS)</t>
  </si>
  <si>
    <t>P. 95 "The Investor Relations &amp; Sustainability department coordinates groupwide sustainability reporting, which covers all quantitative and qualitative requirements of the CSRD and is responsible for managing the sustainability reporting process" Lucia Ixtacuy[https://wikirate.org/Lucia_Ixtacuy].....2025-08-06 14:37:24 UTC Not using GRI anymore p. 88 The reporting requirementspursuant to Article 8 of the EU Taxonomy Regulation relating to the disclosure of environmentally sustainable business activities are also fulfilled, while in prior years the GRI standard served as an orientation aid and reporting was carried out in accordance with the requirements of the CRS-RL-UG. Aureliane[https://wikirate.org/Aureliane].....2025-09-01 10:45:24 UTC</t>
  </si>
  <si>
    <t>https://wikirate.org/~22205793</t>
  </si>
  <si>
    <t>CSRD (ESRS), Greenhouse Gas Protocol, National standards, Other</t>
  </si>
  <si>
    <t>ISSB (IFRS), p14 (p17 pdf viewer) "The 2024 consolidated financial statements of Continental AG were prepared in accordance with the International Financial Reporting Standards (IFRS)." CSRD (ESRS) ISSB (IFRS), p95 (p98 pdf viewer) "Due to the legal uncertainties arising from the lack of implementation of the CSRD into German law at the time of reporting, the Executive Board of Continental AG, in coordination with the Supervisory Board, has decided to fully apply, for the first time, the ESRS resulting from the CSRD as a framework in accordance with Section 315c (3) in conjunction with Section 289d HGB for preparing the combined non-financial statement in accordance with Sections 315b and 315c in conjunction with Sections 289b to 289e HGB." Other standards, p151 (p154 pdf viewer): "The environmental, occupational health &amp; safety management systems are based on the international standards ISO 14001 and ISO 45001, which are also standards for the management of hazardous substances." Other standards, p191 (p1...</t>
  </si>
  <si>
    <t>https://wikirate.org/~22206358</t>
  </si>
  <si>
    <t>p. 05 "And although we are currently under no regulatory obligation to do so, we have aligned our Impact Report with the latest European reporting standard: the CSRD (Corporate Sustainability Reporting Directive). " Lucia Ixtacuy[https://wikirate.org/Lucia_Ixtacuy].....2025-08-07 12:32:24 UTC</t>
  </si>
  <si>
    <t>https://wikirate.org/~22206444</t>
  </si>
  <si>
    <t>GRI Standards, SASB, CDP, Greenhouse Gas Protocol, Other</t>
  </si>
  <si>
    <t>Our materiality assessment is based on external frameworks like the UN Global Compact and the Standards of the Global Reporting Initiative (GRI 2021), which are the foundation for our reporting. Lucia Ixtacuy[https://wikirate.org/Lucia_Ixtacuy].....2025-08-07 13:11:14 UTC Siemens also uses the Task Force on Climate-Related Financial Disclosure to disclose sustainability information (mostly how they're managing risks). p. 147 The G20 Financial Stability Board‚Äôs Task Force on Climate-Related Financial Disclosure provides a uniform framework that companies can voluntarily use to report their climate-related risks and opportunities and disclose the correspond-ing information to investors, lenders, insurers, and other stakeholders. This Annex provides an overview of Siemens‚Äô activities based on these recommendations and offers refer-ences to other sources of relevant information. p. 149-156, several links to the data the company reported through CDP. Aureliane[https://wikirate.org/Aureliane].....2025-08-29 11:5...</t>
  </si>
  <si>
    <t>https://wikirate.org/~22206504</t>
  </si>
  <si>
    <t>Greenhouse Gas Protocol</t>
  </si>
  <si>
    <t>P89: "In the reporting period thyssenkrupp‚Äôs greenhouse gas emissions ‚Äì i.e., Scope 1 and Scope 2 emissions as per the Greenhouse Gas Protocol ‚Äì came to around 23.2 million tons CO2e. " Marc McGowan[https://wikirate.org/Marc_McGowan].....2025-08-07 14:05:24 UTC</t>
  </si>
  <si>
    <t>https://wikirate.org/~22207028</t>
  </si>
  <si>
    <t>ESRS used throughout the report to structure disclosures. P221 contains datapoint index Marc McGowan[https://wikirate.org/Marc_McGowan].....2025-08-08 15:24:11 UTC</t>
  </si>
  <si>
    <t>https://wikirate.org/~22208581</t>
  </si>
  <si>
    <t>GRI is used most comprehensively (p. 102-110) ESRS is used for the double materiality assessment only (p. 12 and 14) Greenhouse Gas Protocol is used for the definition and calculation of scope 1, 2, 3 (p. 8, 17, 29, 34) Laureen van Breen[https://wikirate.org/Laureen_van_Breen].....2025-08-11 07:31:04 UTC p. 18: The UN SDGs are also used to report certain environmental and social indicators. Aureliane[https://wikirate.org/Aureliane].....2025-08-27 15:53:40 UTC</t>
  </si>
  <si>
    <t>https://wikirate.org/~22208717</t>
  </si>
  <si>
    <t>"This 2024 MAHLE Sustainability Report outlines our goals, strategies, and progress in key areas. It was created in accordance with Global Reporting Initiative Standards." (p. 5) ESRS coming soon... "In parallel, MAHLE is taking action to prepare for the new European Sustainability Reporting Standards under the Corporate Sustainability Reporting Directive (CSRD). In line with the concept of double materiality, MAHLE has evaluated the company‚Äôs impact on the environment and society, and the financial opportunities and risks associated with these sustainability aspects. The objective of this activity is to prepare for comprehensive reporting on the company‚Äôs sustainability initiatives and to meet the requirements of the CSRD as of 2025." (p. 14) "The Carbon Disclosure Project (CDP) is a reporting platform focused on climate protection. MAHLE uses CDP to report on its climate change and water stewardship efforts. In 2024, MAHLE received an A rating for climate change and an A‚Äì rating for water stewardship, th...</t>
  </si>
  <si>
    <t>https://wikirate.org/~22208989</t>
  </si>
  <si>
    <t>GRI Standards, Greenhouse Gas Protocol</t>
  </si>
  <si>
    <t>"In its reporting, Voith follows the guidelines of the Global Reporting Initiative (GRI) and uses the corresponding GRI standards (2020) as an orientation." (p. 60) "This Sustainability Report is also a reflection of the shift in reporting according to the rules of the Global Reporting Initiative towards reporting according to the criteria of the European Corporate Sustainability Reporting Directive (CSRD). The report has been redesigned in line with this development and constitutes an intermediate step from one standard to the next." (p. 7) Laureen van Breen[https://wikirate.org/Laureen_van_Breen].....2025-08-11 12:06:05 UTC P53:"We collect data on our CO2 footprint in scopes 1, 2 and 3 in accordance with the guidelines of the GHG protocol (GHG = greenhouse gas)" Marc McGowan[https://wikirate.org/Marc_McGowan].....2025-08-27 09:12:38 UTC</t>
  </si>
  <si>
    <t>https://wikirate.org/~22209261</t>
  </si>
  <si>
    <t>For financial report p. 27 "The consolidated financial statements of Schaeffler AG as at and for the year ended December 31, 2024, were prepared in accordance with International Financial Reporting Standards (IFRS) as adopted by the European Union and the additional requirements of German commercial law pursuant to section 315e (1) German Commercial Code." "This assurance conclusion includes that nothing has come to our attention that causes us to believe that: ‚Ä¢ the accompanying combined group non-financial declaration does not comply, in all material respects, with the European Sustainability Reporting Standards (ESRS), including that the process carried out by the entity to identif y information to be included in the combined group non-financial declaration (the materiality assessment) is not, in all material respects, in accordance with the description set out in section ‚ÄúGeneral Disclosures‚Äù of the combined group non-financial declaration, or ‚Ä¢ the corresponding disclosures in the combined group non-f...</t>
  </si>
  <si>
    <t>https://wikirate.org/~22209267</t>
  </si>
  <si>
    <t>CSRD (ESRS), Other</t>
  </si>
  <si>
    <t>TCFD p64 Thomas Howie[https://wikirate.org/Thomas_Howie].....2025-08-11 13:53:49 UTC</t>
  </si>
  <si>
    <t>https://wikirate.org/~22209388</t>
  </si>
  <si>
    <t>https://wikirate.org/~22209472</t>
  </si>
  <si>
    <t>https://wikirate.org/~22210621</t>
  </si>
  <si>
    <t>CSRD (ESRS), CDP</t>
  </si>
  <si>
    <t>ESRS p. 159 (index) IFRS p.112 "as well as additions to right-of-use assets in accordance with IFRS 16" Yohann[https://wikirate.org/Yohann].....2025-08-13 10:07:50 UTC p. 88 "The CDP supply chain questionnaire collects data on suppliers' emissions and environmental practices, providing a clear overview of indirect emissions. With detailed emissions data, we can identify the areas in our supply chain that are most affected and set priorities for decarbonization. We also use the questionnaire data to compare our suppliers with other companies in the industry, tracking improvements from year to year. " Aureliane[https://wikirate.org/Aureliane].....2025-08-26 12:39:43 UTC IFRS seems to only apply to financial statement Aureliane[https://wikirate.org/Aureliane].....2025-08-27 07:45:08 UTC</t>
  </si>
  <si>
    <t>https://wikirate.org/~22211055</t>
  </si>
  <si>
    <t>p120 (p1 PDF viewer) "Our sustainability reporting for the year 2024 was prepared for the first time in full application of the European Sustainability Reporting Standards (ESRS)." Thomas Howie[https://wikirate.org/Thomas_Howie].....2025-08-13 13:13:06 UTC There is a mention of the GHG Protocol, as a tool to assess and analyze CO2 emissions. p. 158: At Covestro, upstream and downstream GHG emissions data along the value chain (Scope 3 emissions) is determined for all sites and business activities that indirectly cause relevant GHG emissions according to the categories and methods of the GHG Protocol and the Guidance for Accounting &amp; Reporting Corporate GHG Emissions in the Chemical Sector Value Chain by the World Business Council for Sustainable Development (WBCSD) Aureliane[https://wikirate.org/Aureliane].....2025-08-29 13:43:12 UTC CDP is mentioned but the disclosures are made separately - although referenced in the report. p. 158: The individual calculations of the emissions for each Scope 3 category ar...</t>
  </si>
  <si>
    <t>https://wikirate.org/~22211593</t>
  </si>
  <si>
    <t>ISSB (IFRS), CSRD (ESRS), Greenhouse Gas Protocol</t>
  </si>
  <si>
    <t>IFRS p. 131 first paragraph ESRS p. 77 Greenhouse Gas Protocol is mentioned p. 94 as "Third Party Standards and Initiatives" but not sure if it's used for reporting, rather for setting their target (cf. p. 103) Yohann[https://wikirate.org/Yohann].....2025-08-13 15:44:49 UTC p.104: indications that they used the GHG protocol for reporting "Our Scope 2 target uses the market-based ap-proach, with Scope 2 emissions reported in accordance with the GHG Protocol to avoid double counting" Aureliane[https://wikirate.org/Aureliane].....2025-08-26 15:06:41 UTC</t>
  </si>
  <si>
    <t>https://wikirate.org/~22211711</t>
  </si>
  <si>
    <t>GRI Standards, ISSB (IFRS), SASB, CSRD (ESRS), CDP, Greenhouse Gas Protocol, Other</t>
  </si>
  <si>
    <t>"The list of sustainability topics was developed using a combined approach of secondary research and collab- oration with topic initiative (co-)leads. In this process, the table of sustainability topics according to ESRS 1 AR 16 was used, along with additional sources such as the content of previous Henkel sustainability reports, external frameworks (for example Sustainability Accounting Standards Board [SASB], International Sustainability Standards Board [ISSB], Global Reporting Initiative [GRI], Sustainable Development Goals [SDGs]) and other references such as ratings from EcoVadis and the Carbon Disclosure Project (CDP). Henkel‚Äôs annual reports, the Sustainability Finance Disclosure Regulation (SFDR) and the Company‚Äôs business priorities were also considered." p. 89 "Accounting policy The EU Taxonomy comprises three key performance indicators (KPI): turnover, operating expenditures (OpEx) and capital expenditures (CapEx). The definition and the subsequent determination of these KPIs under the EU Taxono...</t>
  </si>
  <si>
    <t>https://wikirate.org/~22218183</t>
  </si>
  <si>
    <t>"We have been publishing an Integrated Annual Report, which combines the traditional contents of a financial report with a sustainability report, since 2014. In the 2024 financial year, we are using the European Sustainability Reporting Standards (ESRS) as a recognized framework for our non- financial declaration." p. 3 "The information about the net assets, financial position and results of operations of the EnBW Group is based on the requirements of the International Financial Reporting Standards (IFRS), and, where applicable, the German Commercial Code (HGB) and German Accounting Standards (GAS)." p. 3 "Furthermore, our reporting is based on the International Integrated Reporting Framework and the recommendations issued by the Task Force on Climate-related Financial Disclosures (TCFD)," p. 3 "Our transition plan contains targets that are valid across the Group. All of EnBW‚Äôs climate targets at a Group level are in line with the goals of the Paris Agreement. These targets are also absolute, relatively pr...</t>
  </si>
  <si>
    <t>https://wikirate.org/~22218364</t>
  </si>
  <si>
    <t>CSRD (ESRS), Greenhouse Gas Protocol, National standards</t>
  </si>
  <si>
    <t>"These Consolidated Financial Statements were prepared in accordance with the International Financial Reporting Standards (IFRSs) and related interpretations of the International Accounting Standards Board (IASB) as adopted by the European Union (EU) and, as a supplement, in accordance with the requirements of section 315e (1) of the German Commercial Code (HGB)." P. 15 "The Consolidated Sustainability Statement was prepared to fulfil the requirements of Directive (EU) 2022/2464 of the European Parliament and of the Council of 14 December 2022 (Corporate Sustainability Reporting Directive, CSRD) and Article 8 of Regulation (EU) 2020/852 as well as Sections 315b and 315c of the HGB [Handelsgesetzbuch: German Commercial Code] for a consolidated non- financial statement. " P. 15 "The report has been prepared for the first time in accordance with the first set of European Sustainability Reporting Standards (ESRS). The report can be found in the Combined Management Report under V Sustainability Report." Lucia I...</t>
  </si>
  <si>
    <t>https://wikirate.org/~22218683</t>
  </si>
  <si>
    <t>p. 125 " All direct GHG emissions (Scope 1), indirect GHG emissions from purchased energy (Scope 2), and material indirect GHG emissions within the value chain (Scope 3) are reported in a Group-wide GHG balance sheet in accordance with the requirements of the Greenhouse Gas Protocol (GHG Protocol) ‚Üí page 336" p. 111 p. 216 "The presentation of the consolidated statement of profit or loss for the 2023 reporting period was retrospectively adjusted in accordance with IFRS 5 ‚ÄúNon-current assets held for sale and discontinued operations‚Äù. " Lucia Ixtacuy[https://wikirate.org/Lucia_Ixtacuy].....2025-08-14 14:37:18 UTC</t>
  </si>
  <si>
    <t>https://wikirate.org/~22218708</t>
  </si>
  <si>
    <t>https://wikirate.org/~22218833</t>
  </si>
  <si>
    <t>https://wikirate.org/~22218933</t>
  </si>
  <si>
    <t>"We seek to continually monitor and review developing sustainability frameworks, standards, and global regulations by incorporating those we deem most applicable to our business into our reporting. Indices connecting our disclosures to the priorities set by the Task Force on Climate-Related Financial Disclosures (TCFD), the Sustainability Accounting Standards Board (SASB), the United Nations Sustainable Development Goals (UN SDGs), and the Global Reporting Initiative (GRI) are provided within." p. 3 GGP "Deere has elected to report its GHG emissions on an operational control basis, as defined by the GHG protocol" p. 9 the text also mention CDP "Deere also continues to report to CDP on an annual basis." p. 3 but from what I understand those are not included in this report, same for ESRS "In light of the dynamic regulatory environment around sustainability and climate change, including the European Union‚Äôs Corporate Sustainability Reporting Directive (CSRD), this year we also updated processes and aligned re...</t>
  </si>
  <si>
    <t>https://wikirate.org/~22219010</t>
  </si>
  <si>
    <t>None</t>
  </si>
  <si>
    <t>https://wikirate.org/~22219132</t>
  </si>
  <si>
    <t>https://wikirate.org/~22219216</t>
  </si>
  <si>
    <t>https://wikirate.org/~22219307</t>
  </si>
  <si>
    <t>P128:"RWE reports its greenhouse gas emissions in accordance with the principles, requirements and guidance of the Greenhouse Gas Protocol Standard, using its publicly available Greenhouse Gas Emission Inventory &amp; Calculation Methodology" P178 ESRS Index Marc McGowan[https://wikirate.org/Marc_McGowan].....2025-08-15 12:54:54 UTC</t>
  </si>
  <si>
    <t>https://wikirate.org/~22219771</t>
  </si>
  <si>
    <t>P99 ESRS discussion list P126: "Gross Scopes 1, 2, 3 and Total GHG emissions The greenhouse gas emissions were determined in accordance with the Greenhouse Gas Protocol." Marc McGowan[https://wikirate.org/Marc_McGowan].....2025-08-15 14:55:23 UTC</t>
  </si>
  <si>
    <t>https://wikirate.org/~22219785</t>
  </si>
  <si>
    <t>ISSB (IFRS), SASB, CSRD (ESRS), Greenhouse Gas Protocol</t>
  </si>
  <si>
    <t>p99 (p103 in PDF viewer) "Uniper has decided to voluntarily implement these ESRS requirements in full under the transitional provisions. In accordance with the ESRS requirements, the material topics were selected on the basis of the assessment of their impact, and their financial opportunities and risks." p125 (p129 in PDF viewer) "For the determination of potential topics and impacts (i.e., potential entity-specific disclo- sures), relevant standards (e.g., SASB, ISSB)" Thomas Howie[https://wikirate.org/Thomas_Howie].....2025-08-15 14:57:08 UTC p104 (p108 in PDF viewer) The Scope 3 emissions include data on upstream and/or downstream value chain activities, which have been estimated in accordance with the GHG Protocol. Thomas Howie[https://wikirate.org/Thomas_Howie].....2025-08-15 14:59:02 UTC "Unlike in previous years, the frameworks of the GRI (Global Reporting Initiative) and the TCFD (Task Force on Climate-related Financial Disclosures) are no longer directly applied. However, reporting continuity is ...</t>
  </si>
  <si>
    <t>https://wikirate.org/~22245898</t>
  </si>
  <si>
    <t>P107 - see example ESRS disclosure table P156: "The Company‚Äôs emission calculation methodology was developed by a team consisting of key personnel from the engineering and environment departments to be aligned with the guidance provided by the Greenhouse Gas Protocol." Marc McGowan[https://wikirate.org/Marc_McGowan].....2025-08-18 13:03:08 UTC</t>
  </si>
  <si>
    <t>https://wikirate.org/~22246025</t>
  </si>
  <si>
    <t>https://wikirate.org/~22246114</t>
  </si>
  <si>
    <t>There is a section on their website about GRI, although the period covered is not clear. https://csr.50hertz.com/en/Sustainability-Report/GRI Lucia Ixtacuy[https://wikirate.org/Lucia_Ixtacuy].....2025-08-21 14:12:46 UTC</t>
  </si>
  <si>
    <t>https://wikirate.org/~22246284</t>
  </si>
  <si>
    <t>https://wikirate.org/~22246387</t>
  </si>
  <si>
    <t>GRI has been used to prepare the report (p. 74-75) Greenhouse Gas Protocol (p. 37) ESRS in future (p. 14) Laureen van Breen[https://wikirate.org/Laureen_van_Breen].....2025-08-19 12:30:12 UTC</t>
  </si>
  <si>
    <t>https://wikirate.org/~22246443</t>
  </si>
  <si>
    <t>p27 "The Sustainability Statement was prepared to meet the requirements of Directive (EU) 2022/2464 of the European Parliament and of the Council of December 14, 2022 (Corporate Social Responsibility Directive, ‚ÄúCSRD‚Äù)" p43 "In line with ESRS E1 requirements, E.ON calculates its emissions using the globally recognized WRI/WBCSD Greenhouse Gas Protocol Corporate Accounting and Reporting Standard (‚ÄúGHG Protocol‚Äù)" Thomas Howie[https://wikirate.org/Thomas_Howie].....2025-08-19 12:41:41 UTC p. 230: SDG Index (not a standard) p. 224: reporting according to TCFD (not a standard) Aureliane[https://wikirate.org/Aureliane].....2025-08-29 15:16:53 UTC CDP: it is not clear to me whether they have used data from CDP in the report. p. 41: E.ON has reported data on carbon emissions and climate action to CDP since 2004. CDP, a global non-profit organization that operates the world‚Äôs leading environmental disclosure platform, recognizes E.ON as a pacesetter in climate protection and transparency. Aureliane[https://wikirat...</t>
  </si>
  <si>
    <t>https://wikirate.org/~22246635</t>
  </si>
  <si>
    <t>ESRS (p. 8) Greenhouse Gas Protocol (p.29) CDP mentioned on page 19 but regarding a rating, not clear it was used for their non-financial reporting. Laureen van Breen[https://wikirate.org/Laureen_van_Breen].....2025-08-19 20:07:43 UTC</t>
  </si>
  <si>
    <t>https://wikirate.org/~22246771</t>
  </si>
  <si>
    <t>GRI Standards, SASB, CSRD (ESRS), CDP, Greenhouse Gas Protocol, Other</t>
  </si>
  <si>
    <t>"When preparing the Group Sustainability Statement, the first set of European Sustainability Reporting Standards (ESRS) was implemented in full." "The information based on the standards of the Sustainability Accounting Standards Board (SASB), the Task Force on Climate-related Financial disclosures (TCFD) and the Global Reporting Initiative (GRI) can be found in the Annual Report under ‚ÄúOther Information‚Äù." (p. 104) "In accordance with the Greenhouse Gas Protocol (GHG Protocol), we distinguish between the following sources when calculating our Scope 1 emissions:" (p. 162) Links to CDP disclosures from a few places, e.g: p. 515 The IFRS is also referenced but only in relation to financial disclosures (so Merck did not use their sustainability standards; ISSB). Laureen van Breen[https://wikirate.org/Laureen_van_Breen].....2025-08-20 07:29:15 UTC</t>
  </si>
  <si>
    <t>https://wikirate.org/~22246903</t>
  </si>
  <si>
    <t>p. 21 mentions IFRS but regarding financial disclosures (not the ISSB indicators) p. 95 previously they used GRI but now switched to ESRS p. 110 mentions they "considered aspects" of reporting standards GRI, SASB, and TCFD to identify IROs.. (impacts, risks and opportunities). But no further detail is provided so it seems to "light" of an integration that I would not say they have used these standards for their reporting. Laureen van Breen[https://wikirate.org/Laureen_van_Breen].....2025-08-20 09:14:37 UTC</t>
  </si>
  <si>
    <t>https://wikirate.org/~22247020</t>
  </si>
  <si>
    <t>https://wikirate.org/~22247089</t>
  </si>
  <si>
    <t>p2 "This report has been prepared with reference to the Global Reporting Initiative (GRI) Standards. Select GRI and International Sustainability Standards Board (ISSB) indices are available on our Sustainability website. Sustainability Accounting Standards Board (SASB) standards have been incorporated into the International Financial Reporting Standards Foundation (IFRS) Sustainability Disclosure Standards, issued by ISSB." p28 "We report our GHG inventory in accordance with the World Business Council for Sustainable Development (WBCSD) and World Resources Institute (WRI) Greenhouse Gas ‚Äì A Corporate Accounting Standard and Corporate Value Chain (Scope 3) Accounting and Reporting Standard (also referred to as GHG Protocol)." Thomas Howie[https://wikirate.org/Thomas_Howie].....2025-08-20 09:52:29 UTC p13 "Lockheed Martin‚Äôs latest climate risk analysis, assessing physical and transitional risks to our operations and select suppliers, can be found in our Carbon Disclosure Project (CDP) Climate Change report a...</t>
  </si>
  <si>
    <t>https://wikirate.org/~22247367</t>
  </si>
  <si>
    <t>p6 "The Integrated Annual Report is composed of: the Report on Operations, which includes the Consolidated Sustainability Statement (CSS) pursuant to Legislative Decree 125/2024, which transposes in Italy the European Directive CSRD (Corporate Sustainability Reporting Directive); the Consolidated Financial Statements; the Separate Financial Statements of Leonardo SpA. Leonardo‚Äôs decision to adopt an integrated approach to its Report has anticipated what is envisaged by the Corporate Sustainability Reporting Directive, which requires companies to publish sustainability disclosures in the Report on Operations starting from Reports issued in 2025. In preparing the Integrated Annual Report, the following have been taken into account: the priorities reported by ESMA (European Securities and Markets Authority) for financial statements prepared according to the International Financial Reporting Standards (IFRS) and for non-financial disclosures, the Integrated Reporting Framework, the standards of the Sustainabil...</t>
  </si>
  <si>
    <t>https://wikirate.org/~22247804</t>
  </si>
  <si>
    <t>"Die vorliegende nichtfinanzielle Erkl√§rung wurde in Anlehnung an die neue EU-Richtlinie zur Nachhaltigkeitsberichterstattung Corporate Sustainability Reporting Directive (CSRD) unter Ber√ºcksichtigung des Rahmenwerks der European Sustainability Reporting Standards (ESRS) auf konsolidierter Basis f√ºr die GELSENWASSER AG f√ºr das Gesch√§ftsjahr 2024 erstellt. Da die CSRD im Jahr 2024 nicht, wie von der EU gefordert, vollst√§ndig in deutsches Recht umgesetzt wurde, sind f√ºr das Berichtsjahr 2024 weiterhin die Vorgaben des Handelsgesetzbuchs (HGB), insbesondere die ¬ß¬ß 289b bis 289e HGB, f√ºr die Erstellung der nichtfinanziellen Erkl√§rung bindend." (p. 72) "√úber die Anforderungen der ESRS hinaus umfasst die vorliegende nichtfinanzielle Erkl√§rung Informationen auf der Grundlage anderer Rechtsvorschriften und allgemein anerkannter Standards und Rahmenwerke zur Nachhaltigkeitsberichterstattung. Als Beispiel ist hier der Greenhouse Gas Protocol Corporate Accounting and Reporting Standard (GHG Protocol) genannt, der die...</t>
  </si>
  <si>
    <t>https://wikirate.org/~22249909</t>
  </si>
  <si>
    <t>GRI Standards, CSRD (ESRS)</t>
  </si>
  <si>
    <t>p122 "The European Sustainability Reporting Standards (ESRS) are being used in their entirety for the first time as a framework for the Group declaration in accordance with Section 315c (3) in conjunction with Section 289d HGB due to the importance of ESRS as reporting standards adopted by the European Commission for sustainability reporting." "In accordance with the joint statement of interoperability published by EFRAG and GRI on August 31, 2023, entities reporting under ESRS are considered as reporting with reference to GRI Standards as well. The audit only covered ESRS-compliant reporting" Thomas Howie[https://wikirate.org/Thomas_Howie].....2025-08-27 11:31:14 UTC IFRS is used for financial reporting Aureliane[https://wikirate.org/Aureliane].....2025-09-01 10:19:31 UTC</t>
  </si>
  <si>
    <t>https://wikirate.org/~22250782</t>
  </si>
  <si>
    <t>https://wikirate.org/~22197736</t>
  </si>
  <si>
    <t>Wikirate International e.V.+Data license type</t>
  </si>
  <si>
    <t>Not specified</t>
  </si>
  <si>
    <t>https://wikirate.org/~22204214</t>
  </si>
  <si>
    <t>https://wikirate.org/~22204391</t>
  </si>
  <si>
    <t>https://wikirate.org/~22205756</t>
  </si>
  <si>
    <t>https://wikirate.org/~22205813</t>
  </si>
  <si>
    <t>https://wikirate.org/~22205902</t>
  </si>
  <si>
    <t>https://wikirate.org/~22206461</t>
  </si>
  <si>
    <t>https://wikirate.org/~22206524</t>
  </si>
  <si>
    <t>https://wikirate.org/~22208598</t>
  </si>
  <si>
    <t>https://wikirate.org/~22208608</t>
  </si>
  <si>
    <t>https://wikirate.org/~22208734</t>
  </si>
  <si>
    <t>https://wikirate.org/~22209006</t>
  </si>
  <si>
    <t>https://wikirate.org/~22209283</t>
  </si>
  <si>
    <t>https://wikirate.org/~22209328</t>
  </si>
  <si>
    <t>https://wikirate.org/~22209411</t>
  </si>
  <si>
    <t>https://wikirate.org/~22209489</t>
  </si>
  <si>
    <t>https://wikirate.org/~22210551</t>
  </si>
  <si>
    <t>https://wikirate.org/~22211084</t>
  </si>
  <si>
    <t>https://wikirate.org/~22211368</t>
  </si>
  <si>
    <t>only this passage at the end: "The engagement, in the performance of which we have provided the services described above on behalf of Daimler Truck Holding AG, Stuttgart, was carried out on the basis of the General Engagement Terms for Wirtschaftspr√ºferinnen, Wirtschaftspr√ºfer und Wirtschaftspr√ºfungsgesellschaften (Allgemeine Auftragsbedingungen f√ºr Wirtschaftspr√ºferinnen, Wirtschaftspr√ºfer und Wirtschaftspr√ºfungsgesellschaften) dated as of January 1, 2024 (www.kpmg.de/AAB_2024)[http://www.kpmg.de/AAB_2024)]. By taking note of and using the information as contained in our report each recipient confirms to have taken note of the terms and conditions stipulated in the aforementioned General Engagement Terms (including the liability limitations to EUR 4 Mio specified in item No. 9 included therein) and acknowledges their validity in relation to us." p. 303 but it seems to refer only to the information contained in the audit report on sustainability not the whole document. Yohann[https://wikirate.org/Yohann].....</t>
  </si>
  <si>
    <t>https://wikirate.org/~22211618</t>
  </si>
  <si>
    <t>https://wikirate.org/~22211725</t>
  </si>
  <si>
    <t>https://wikirate.org/~22218197</t>
  </si>
  <si>
    <t>https://wikirate.org/~22218437</t>
  </si>
  <si>
    <t>https://wikirate.org/~22218716</t>
  </si>
  <si>
    <t>https://wikirate.org/~22218847</t>
  </si>
  <si>
    <t>https://wikirate.org/~22218947</t>
  </si>
  <si>
    <t>https://wikirate.org/~22219022</t>
  </si>
  <si>
    <t>https://wikirate.org/~22219145</t>
  </si>
  <si>
    <t>Closed license</t>
  </si>
  <si>
    <t>p. 44 under Copyright Yohann[https://wikirate.org/Yohann].....2025-08-15 11:00:04 UTC</t>
  </si>
  <si>
    <t>https://wikirate.org/~22219222</t>
  </si>
  <si>
    <t>https://wikirate.org/~22219314</t>
  </si>
  <si>
    <t>https://wikirate.org/~22219832</t>
  </si>
  <si>
    <t>https://wikirate.org/~22219870</t>
  </si>
  <si>
    <t>https://wikirate.org/~22245905</t>
  </si>
  <si>
    <t>https://wikirate.org/~22246040</t>
  </si>
  <si>
    <t>https://wikirate.org/~22246126</t>
  </si>
  <si>
    <t>https://wikirate.org/~22246309</t>
  </si>
  <si>
    <t>https://wikirate.org/~22246404</t>
  </si>
  <si>
    <t>https://wikirate.org/~22246449</t>
  </si>
  <si>
    <t>https://wikirate.org/~22246652</t>
  </si>
  <si>
    <t>https://wikirate.org/~22246788</t>
  </si>
  <si>
    <t>https://wikirate.org/~22246920</t>
  </si>
  <si>
    <t>https://wikirate.org/~22247035</t>
  </si>
  <si>
    <t>https://wikirate.org/~22247110</t>
  </si>
  <si>
    <t>https://wikirate.org/~22247386</t>
  </si>
  <si>
    <t>https://wikirate.org/~22247821</t>
  </si>
  <si>
    <t>https://wikirate.org/~22249927</t>
  </si>
  <si>
    <t>https://wikirate.org/~22250799</t>
  </si>
  <si>
    <t>https://wikirate.org/~22197745</t>
  </si>
  <si>
    <t>Wikirate International e.V.+Double materiality assessment</t>
  </si>
  <si>
    <t>p. 112 "Based on the scope of the double materiality assessment, further information on this can be found under Identification of material impacts, risks and opportunities in this chapter, the Mercedes-Benz Group‚Äôs Sustainability Statement covers the entire value chain. In the reporting, this is summarized in three stages, analogous to the materiality assessment: upstream value chain, own business activities and downstream value chain of the Mercedes-Benz Group. " p. 121 Lucia Ixtacuy[https://wikirate.org/Lucia_Ixtacuy].....2025-08-05 12:42:12 UTC</t>
  </si>
  <si>
    <t>https://wikirate.org/~22204230</t>
  </si>
  <si>
    <t>P241: "In accordance with the requirements of the ESRS, the Volkswagen Group performed a double materiality assessment, which is also referred to as a materiality assessment in the following. A detailed description is provided under ‚ÄúProcedure for and results of the double materiality assessment‚Äù. " Marc McGowan[https://wikirate.org/Marc_McGowan].....2025-08-06 07:30:01 UTC</t>
  </si>
  <si>
    <t>https://wikirate.org/~22204414</t>
  </si>
  <si>
    <t>P103: "As part of the preparation of the 2024 Sustainability Statement, the material impacts, risks and opportunities were evaluated for the first time in accordance with the double materiality requirements for sustainability topics. A total of 85 material impacts, risks and opportunities were identified" Marc McGowan[https://wikirate.org/Marc_McGowan].....2025-08-06 08:09:43 UTC</t>
  </si>
  <si>
    <t>https://wikirate.org/~22205773</t>
  </si>
  <si>
    <t>p. 99-101,.. "To identify the potential and actual impacts, risks, and opportunities key to Jenoptik, a double materiality analysis was carried out in the past fiscal year in accordance with the requirements of the European Sustainability Reporting Standards (ESRS). The Group perspective was adopted, and the upstream and downstream value chain was included in the analysis alongside the company‚Äôs own business activities. Any differences in terms of regionality or segments were documented, but did not result in different evaluations. The method for conducting the double materiality analysis corresponds to the evaluation of the two dimensions ‚Äúimpact on people and the environment‚Äù and ‚Äúfinancial materiality‚Äù for Jenoptik as required by ESRS. The assessment of the impacts on people and the environment, including the risks regarding human rights violations, and the assessment of the financial materiality in terms of risks and opportunities, is based on the methodology used in the groupwide risk management syste...</t>
  </si>
  <si>
    <t>https://wikirate.org/~22205825</t>
  </si>
  <si>
    <t>P99 (p102 pdf reader) "Description of methodology and assumptions Continental assesses its impacts, risks and opportunities according to the ESRS methodology requirements on double materiality (IRO assessment). Continental‚Äôs 2024 IRO assessment has been conducted simultaneously with both impact materiality (inside-out) and financial materiality (outside-in) perspectives" Thomas Howie[https://wikirate.org/Thomas_Howie].....2025-08-06 15:18:48 UTC</t>
  </si>
  <si>
    <t>https://wikirate.org/~22205907</t>
  </si>
  <si>
    <t>p. 24 -27 of impact report. Lucia Ixtacuy[https://wikirate.org/Lucia_Ixtacuy].....2025-08-06 15:50:15 UTC</t>
  </si>
  <si>
    <t>https://wikirate.org/~22206466</t>
  </si>
  <si>
    <t>https://wikirate.org/~22206548</t>
  </si>
  <si>
    <t>https://wikirate.org/~22208613</t>
  </si>
  <si>
    <t>"As part of our double materiality assessment, we identified the sustainability matters in 2024 that could have a significant impact on our business, people, and the environment. With this approach, we are following the requirements of the Corporate Sustainability Reporting Directive (CSRD) and the associated European Sustainability Reporting Standards (ESRS). The assessment covers Bosch‚Äôs global activities and the entire value chain, taking the results of our established due diligence processes and exchange with our stakeholders into account." (p. 12) Laureen van Breen[https://wikirate.org/Laureen_van_Breen].....2025-08-11 07:38:26 UTC</t>
  </si>
  <si>
    <t>https://wikirate.org/~22208625</t>
  </si>
  <si>
    <t>P76: Outlines approach to double materiality Marc McGowan[https://wikirate.org/Marc_McGowan].....2025-08-11 07:47:29 UTC</t>
  </si>
  <si>
    <t>https://wikirate.org/~22208739</t>
  </si>
  <si>
    <t>"Our materiality matrix has been developed in accordance with the guidelines provided by the Global Reporting Initiative (GRI) 2021. The materiality assessment of the previous year was reviewed in 2024, taking into account the perspectives of our stakeholders and operations globally. The results of the 2023 assessment were confirmed without changing the importance of the selected topics. According to the materiality analysis, the topics of waste and water are not considered material, however, we still report them in accordance with GRI." (p. 13) "In parallel, MAHLE is taking action to prepare for the new European Sustainability Reporting Standards under the Corporate Sustainability Reporting Directive (CSRD). In line with the concept of double materiality, MAHLE has evaluated the company‚Äôs impact on the environment and society, and the financial opportunities and risks associated with these sustainability aspects. The objective of this activity is to prepare for comprehensive reporting on the company‚Äôs sus...</t>
  </si>
  <si>
    <t>https://wikirate.org/~22209011</t>
  </si>
  <si>
    <t>They do not actually mention 'double materiality', but their description of their materiality assessment shows they do apply the double materiality concept. "When assessing the materiality of a topic, not only the impact but also the risks and opportunities associated were examined and assessed. This makes it possible to differentiate between the two perspectives already mentioned above: ‚Ä¢ Inside-out perspective: Here, the influence or the impact of the Company on people and the environment is examined. ‚Ä¢ Outside-in perspective: Here, the financial impact on the Company is examined, i.e., the opportunities and risks." (p. 20) Laureen van Breen[https://wikirate.org/Laureen_van_Breen].....2025-08-11 12:12:35 UTC</t>
  </si>
  <si>
    <t>https://wikirate.org/~22209288</t>
  </si>
  <si>
    <t>P63 Thomas Howie[https://wikirate.org/Thomas_Howie].....2025-08-11 13:58:49 UTC P63: "The assessment currently used is based on our previously used materiality approach, which already takes into account the impacts on the environment, employees and communities (inside-out) and the business and stakeholder relevance (outside-in)" Marc McGowan[https://wikirate.org/Marc_McGowan].....2025-08-27 08:33:17 UTC</t>
  </si>
  <si>
    <t>https://wikirate.org/~22209382</t>
  </si>
  <si>
    <t>https://wikirate.org/~22209416</t>
  </si>
  <si>
    <t>p35 (p1 in PDF viewer) "A double materiality assessment was carried out in accordance with ESRS in order to record the most important impacts on people and the environment (impact materiality) and the business risks and opportunities resulting from sustainability topics (financial materiality). The double materiality assessment is a comprehensive, strategic approach to assess impacts, risks and opportunities related to sustainability. The assessment covers the entire value chain, from raw material extraction to product use by customers and the treatment of products at the end of their life cycle. All activities are assessed for their actual and potential impacts, risks and opportunities." Thomas Howie[https://wikirate.org/Thomas_Howie].....2025-08-11 14:38:19 UTC</t>
  </si>
  <si>
    <t>https://wikirate.org/~22210556</t>
  </si>
  <si>
    <t>p. 110-122 Lucia Ixtacuy[https://wikirate.org/Lucia_Ixtacuy].....2025-08-13 08:39:37 UTC p. 110 "In 2024, we fundamentally revised the process and methodology of the materiality analysis compared to previous analyses. This was done with a view to the requirements of the double materiality analysis as set out in the ESRS. Firstly, the review included the assessment of the topic-related ESRS, including their topics, subtopics and subsubtopics as well as additional company-specific disclosures relating to their impact on people and the environment. Secondly, financial risks and opportunities for our company were updated or newly recorded." Aureliane[https://wikirate.org/Aureliane].....2025-08-29 12:54:01 UTC</t>
  </si>
  <si>
    <t>https://wikirate.org/~22211089</t>
  </si>
  <si>
    <t>p120 (p1 in PDF viewer) "In addition to our own business activities, our sustainability reporting also covers upstream and downstream value chains, if material impacts, risks, and opportunities in this regard were identified during the double materiality assessment." Thomas Howie[https://wikirate.org/Thomas_Howie].....2025-08-13 13:22:19 UTC</t>
  </si>
  <si>
    <t>https://wikirate.org/~22211374</t>
  </si>
  <si>
    <t>see p. 78 "The double materiality analysis confirmed the focus topics of our sustainability strategy and identified seven areas of action as material." Yohann[https://wikirate.org/Yohann].....2025-08-13 14:48:09 UTC</t>
  </si>
  <si>
    <t>https://wikirate.org/~22211622</t>
  </si>
  <si>
    <t>p. 87 First paragraph, first sentence Yohann[https://wikirate.org/Yohann].....2025-08-13 15:50:35 UTC p.87 For the combined non-financial statement for the 2024 financial year, a double materiality assessment for the Krones Group was carried out for the first time in accordance with the requirements of the ESRS Aureliane[https://wikirate.org/Aureliane].....2025-08-26 15:13:24 UTC</t>
  </si>
  <si>
    <t>https://wikirate.org/~22211729</t>
  </si>
  <si>
    <t>"Integration of the process for identifying, assessing and managing impacts and risks into the risk management process (IRO-1_53e) The sustainability-related risks identified during the materiality assessment have been integrated into the risk management and enterprise-wide risk reporting process. The financial threshold for classifying a risk as material within the framework of the double materiality assessment has been aligned with the thresholds used in the risk management process." p. 94 Yohann[https://wikirate.org/Yohann].....2025-08-13 16:37:44 UTC</t>
  </si>
  <si>
    <t>https://wikirate.org/~22218201</t>
  </si>
  <si>
    <t>"We carried out a double materiality assessment according to ESRS for the first time to identify material themes for our sustainability statement and we identified and evaluated not only our impacts but also risks and opportunities." p. 3 results p. 140 Yohann[https://wikirate.org/Yohann].....2025-08-14 10:56:33 UTC</t>
  </si>
  <si>
    <t>https://wikirate.org/~22218238</t>
  </si>
  <si>
    <t>p. 64 Lucia Ixtacuy[https://wikirate.org/Lucia_Ixtacuy].....2025-08-14 12:31:13 UTC</t>
  </si>
  <si>
    <t>https://wikirate.org/~22218700</t>
  </si>
  <si>
    <t>p. 16 p. 124 Lucia Ixtacuy[https://wikirate.org/Lucia_Ixtacuy].....2025-08-14 14:43:03 UTC</t>
  </si>
  <si>
    <t>https://wikirate.org/~22218721</t>
  </si>
  <si>
    <t>https://wikirate.org/~22218851</t>
  </si>
  <si>
    <t>p. 108 first paragraph Yohann[https://wikirate.org/Yohann].....2025-08-14 16:25:38 UTC p.108 "The double materiality analysis comprises the as-sessment of the material IROs (impacts, risks and opportunities) related to environmental, social and governance topics as listed in the various ESRS standards (Annex A of ESRS 1). HELLA did not iden-tify any additional company-specific material top-ics. The IROs cover not only HELLA, but also the entire value chain. Sustainability issues are ana-lysed from two perspectives." Aureliane[https://wikirate.org/Aureliane].....2025-08-26 14:27:35 UTC</t>
  </si>
  <si>
    <t>https://wikirate.org/~22218951</t>
  </si>
  <si>
    <t>"Sustainability materiality assessment" is mentioned, but it is not clear whether it equals to double materiality p.3 Deere completed a formal sustainability materiality assessment in 2021. The company utilized that assessment in numerous ways. Our highest-priority topics served as the focus areas for the Leap Ambitions, released in February 2022. As seen in the Business Impact Report, the highest-priority topics and Leap Ambitions guided our approach to sustainability reporting. And we utilize these topics to align with our internal Enterprise Risk Management process. In describing the 2021 sustainability materiality assessment, we are not using such terms ‚Äúmaterial‚Äù or ‚Äúmateriality‚Äù as they are used under the securities or other laws of the U.S. or any other jurisdiction, or as they are used in the context of financial statements and financial reporting. Aureliane[https://wikirate.org/Aureliane].....2025-08-27 10:19:09 UTC</t>
  </si>
  <si>
    <t>https://wikirate.org/~22219026</t>
  </si>
  <si>
    <t>https://wikirate.org/~22219150</t>
  </si>
  <si>
    <t>https://wikirate.org/~22219227</t>
  </si>
  <si>
    <t>P97: "we identify through the double materiality assessment financial impacts that sustainability matters have on our company, as well as the impacts that our own operations and our activities within our value chain have on these factors." Marc McGowan[https://wikirate.org/Marc_McGowan].....2025-08-15 11:38:10 UTC</t>
  </si>
  <si>
    <t>https://wikirate.org/~22219319</t>
  </si>
  <si>
    <t>P74:"This Group Sustainability Statement contains mandatory disclosures and information classified as material based on the results of the double materiality assessment (DMA)." Marc McGowan[https://wikirate.org/Marc_McGowan].....2025-08-15 12:58:42 UTC</t>
  </si>
  <si>
    <t>https://wikirate.org/~22219855</t>
  </si>
  <si>
    <t>P97: Double materiality assessment Marc McGowan[https://wikirate.org/Marc_McGowan].....2025-08-15 15:06:02 UTC "Description of the processes to identify and assess material climate related impacts, risks and opportunities. Together with the ESG managers of the segments and internal stakeholders, the Sustainability department of the Rheinmetall Group has developed the material topics for the Group as part of sustainability reporting. To identify the material topics for the Rheinmetall Group, a double materiality analysis was carried out for the first time, which will be reassessed annually in future. This ‚Äúdouble materiality‚Äù stipulates that impacts on people and the environment must be considered as well as the financial impact on the company. Relevant for the materiality analysis were, on the one hand, Rheinmetall's own business activities at Rheinmetall sites worldwide and, on the other, the entire value chain of the products. The approach chosen corresponds to the combined bottom-up (segment) and top-do...</t>
  </si>
  <si>
    <t>https://wikirate.org/~22219875</t>
  </si>
  <si>
    <t>p123 (p127 in PDF viewer) Describes in detail their DMA process. And reference is made througout the document to the results of the DMA Thomas Howie[https://wikirate.org/Thomas_Howie].....2025-08-15 15:10:49 UTC</t>
  </si>
  <si>
    <t>https://wikirate.org/~22245910</t>
  </si>
  <si>
    <t>P119- Synthesis of material Impacts, Risks and Opportunities resulting from double materiality assessment Marc McGowan[https://wikirate.org/Marc_McGowan].....2025-08-18 13:05:27 UTC</t>
  </si>
  <si>
    <t>https://wikirate.org/~22246045</t>
  </si>
  <si>
    <t>https://wikirate.org/~22246130</t>
  </si>
  <si>
    <t>https://wikirate.org/~22246314</t>
  </si>
  <si>
    <t>p122 - p123 "A new DMA process was formulated and implemented in 2024 to ensure that it meets the methodological requirements of ESRS 1." Thomas Howie[https://wikirate.org/Thomas_Howie].....2025-08-19 12:05:47 UTC</t>
  </si>
  <si>
    <t>https://wikirate.org/~22246419</t>
  </si>
  <si>
    <t>The company states it has done a DMA for the preparation of its supply chain sustainability strategy in 2023 but does not state doing one to determine what they should be reporting on (p. 70) Laureen van Breen[https://wikirate.org/Laureen_van_Breen].....2025-08-19 12:36:40 UTC p. 70 ""In line with the SWM Group‚Äôs sustainability strategy, Central Purchasing performed a double materiality analysis for the preparation of a supply chain sustainability strategy in 2023. The following key action areas were identified: climate protection, circular economy as well as working conditions and human rights in the supply chain. In 2024, targets, policies, measures, and KPIs were allocated to the respective action area" Lucia Ixtacuy[https://wikirate.org/Lucia_Ixtacuy].....2025-09-12 11:07:05 UTC</t>
  </si>
  <si>
    <t>https://wikirate.org/~22246459</t>
  </si>
  <si>
    <t>p32 "E.ON has conducted an annual materiality analysis since 2006. It did so in 2024 for the first time in accordance with ESRS requirements." Thomas Howie[https://wikirate.org/Thomas_Howie].....2025-08-19 12:44:47 UTC</t>
  </si>
  <si>
    <t>https://wikirate.org/~22246657</t>
  </si>
  <si>
    <t>p. 22 Laureen van Breen[https://wikirate.org/Laureen_van_Breen].....2025-08-19 20:17:32 UTC</t>
  </si>
  <si>
    <t>https://wikirate.org/~22246793</t>
  </si>
  <si>
    <t>"Based on our double materiality analysis, the reporting extends to the upstream and downstream value chain where applicable in the respective policies, actions, metrics and targets." p. 105 Laureen van Breen[https://wikirate.org/Laureen_van_Breen].....2025-08-20 08:04:37 UTC "To identify our material IROs, we conducted a double materiality analysis. The process can be described in the following steps:...." p. 122-123 Lucia Ixtacuy[https://wikirate.org/Lucia_Ixtacuy].....2025-08-29 12:03:39 UTC</t>
  </si>
  <si>
    <t>https://wikirate.org/~22246925</t>
  </si>
  <si>
    <t>p. 96 and 108 Laureen van Breen[https://wikirate.org/Laureen_van_Breen].....2025-08-20 09:18:34 UTC</t>
  </si>
  <si>
    <t>https://wikirate.org/~22247040</t>
  </si>
  <si>
    <t>https://wikirate.org/~22247115</t>
  </si>
  <si>
    <t>p7 "In 2024, we conducted a complete double materiality assessment that will become the foundation of our next formal five-year SMP and associated goals and enable our preparations for emerging sustainability reporting requirements." Thomas Howie[https://wikirate.org/Thomas_Howie].....2025-08-20 09:57:23 UTC</t>
  </si>
  <si>
    <t>https://wikirate.org/~22247391</t>
  </si>
  <si>
    <t>p94 "Leonardo has identified impacts, risks and opportunities through the double materiality analysis, whose process is illustrated below. " Thomas Howie[https://wikirate.org/Thomas_Howie].....2025-08-20 14:16:48 UTC</t>
  </si>
  <si>
    <t>https://wikirate.org/~22247826</t>
  </si>
  <si>
    <t>p. 96 Laureen van Breen[https://wikirate.org/Laureen_van_Breen].....2025-08-21 09:53:58 UTC</t>
  </si>
  <si>
    <t>https://wikirate.org/~22249933</t>
  </si>
  <si>
    <t>p137 "In 2024, we initiated a comprehensive process to assess double materiality in line with the EU‚Äôs Corporate Sustainability Reporting Directive (CSRD) and the accompanying European Sustainability Reporting Standards (ESRS). This enabled us to deepen our understanding of the material aspects for our stakeholders." Thomas Howie[https://wikirate.org/Thomas_Howie].....2025-08-27 11:41:12 UTC</t>
  </si>
  <si>
    <t>https://wikirate.org/~22250804</t>
  </si>
  <si>
    <t>https://wikirate.org/~22197675</t>
  </si>
  <si>
    <t>Wikirate International e.V.+Lobbying budget disclosed</t>
  </si>
  <si>
    <t>"Donations and sponsorships through which political influence is possible" - under the section about lobbying. Since the company doesn't report direct political contribution, we assume that those expenses would fit under the category of "lobbying". Donations: 1,275,188 Sponsorships: 700,473 = 1,975,661 p.245 The Mercedes-Benz Group made no monetary or non-monetary contributions to political parties during the reporting period. This decision was made independently of current political or economic events. Donations and sponsorships through which political influence is possible are listed in the following table. Donations in kind were monetized; they are included in the amounts shown for donations and sponsorships" Aureliane.....2025-08-01 13:58:18 UTC Lucia Ixtacuy[https://wikirate.org/Lucia_Ixtacuy].....2025-08-05 11:55:31 UTC "The relevant information on the political representation of interests of the Mercedes-Benz Group is entered in the EU Transparency Register (registration number: 2349218828-41), in t...</t>
  </si>
  <si>
    <t>https://wikirate.org/~22204265</t>
  </si>
  <si>
    <t>P240: "The value of financial and in-kind political contributions made directly and indirectly by the fully consolidated companies amounted to ‚Ç¨92 thousand in 2024." Note: "Due to the specific definitions in the ESRS, the figures in this report differ from those entered in lobby registers. As such, this report does not include all the figures from entries in lobby registers." Marc McGowan[https://wikirate.org/Marc_McGowan].....2025-08-06 07:38:55 UTC</t>
  </si>
  <si>
    <t>https://wikirate.org/~22204454</t>
  </si>
  <si>
    <t>P193: "Significant political contributions by recipient group: 2024 - Total 633,257 EUR " Marc McGowan[https://wikirate.org/Marc_McGowan].....2025-08-06 08:19:39 UTC</t>
  </si>
  <si>
    <t>https://wikirate.org/~22205782</t>
  </si>
  <si>
    <t>147 "Political influence and lobbying activities The subjects of political influence and lobbying activities are of minor relevance to the Jenoptik Group. Only Jenoptik Robot GmbH, a company within the Smart Mobility Solutions division, which represents a relatively small share of total group revenue, is listed in the German lobby register. Contributions to political events are made exclusively by Jenoptik Traffic Solutions LLC in the US, another entity within the Smart Mobility Solutions division, in compliance with local regulations, and amounted to a mid four figure euro sum in the reporting year. From a group perspective, the materiality threshold was not reached." Lucia Ixtacuy[https://wikirate.org/Lucia_Ixtacuy].....2025-08-06 15:03:08 UTC</t>
  </si>
  <si>
    <t>https://wikirate.org/~22205837</t>
  </si>
  <si>
    <t>https://wikirate.org/~22205913</t>
  </si>
  <si>
    <t>p. 27 of report "As HELM is not active in any political lobbying activities, the topic was not identi- fied as material. " Lucia Ixtacuy[https://wikirate.org/Lucia_Ixtacuy].....2025-08-06 15:51:36 UTC</t>
  </si>
  <si>
    <t>https://wikirate.org/~22206450</t>
  </si>
  <si>
    <t>There is no mention of lobbying budget in the Sustainability Report 2024. Lucia Ixtacuy[https://wikirate.org/Lucia_Ixtacuy].....2025-08-07 13:14:06 UTC p.27-30 provide details of their political involvement, including membership in trade associations and partnerships. Aureliane[https://wikirate.org/Aureliane].....2025-08-29 12:28:12 UTC</t>
  </si>
  <si>
    <t>https://wikirate.org/~22206554</t>
  </si>
  <si>
    <t>https://wikirate.org/~22207094</t>
  </si>
  <si>
    <t>https://wikirate.org/~22208619</t>
  </si>
  <si>
    <t>Some interesting information is provided but not their budget for lobbying activities. "A total of 49 associates represent the political interests of the Bosch Group worldwide vis-√†-vis institutions, ministries, governments, parliaments, and society." (p. 93) "As of 2021, we no longer make donations to political parties in Germany, but instead participate in the economic dialogue forums of the CDU, CSU, SPD, FDP, and B√ºndnis 90/ Die Gr√ºnen parties. Through these memberships, we strive to provide appropriate stable financial support and engage in a productive exchange of ideas which all participants benefit from. While the regional organizations are responsible for donations made outside Germany, the guidelines require donations to political parties to be submitted to the chairman of the board of management of Robert Bosch GmbH for his decision. No such matters were presented in 2024." (p. 94) Laureen van Breen[https://wikirate.org/Laureen_van_Breen].....2025-08-11 07:47:02 UTC</t>
  </si>
  <si>
    <t>https://wikirate.org/~22208660</t>
  </si>
  <si>
    <t>https://wikirate.org/~22208745</t>
  </si>
  <si>
    <t>p. 16-17 Laureen van Breen[https://wikirate.org/Laureen_van_Breen].....2025-08-11 08:26:21 UTC</t>
  </si>
  <si>
    <t>https://wikirate.org/~22209017</t>
  </si>
  <si>
    <t>"We always consider our activities as a company within the context of societal developments. Through participating in public debates and contributing our expertise, we support the political decision-making process. We are convinced that our expertise makes an important contribution to overcoming the manifold current and future challenges facing society. Voith performs these tasks through memberships in industry associations and other organizations. In addition, we foster a direct exchange with multipliers. Voith is actively involved in 573 associations, initiatives, and other interest groups (compared to 587 in the previous year). The total cost of membership contributions amounts to ‚Ç¨2.5 million (down from ‚Ç¨2.6 million the previous year)." (p. 14) "Voith does not make any donations to political parties or any comparable party-political organizations and their activities such as party events or campaigns. " (p. 14) Laureen van Breen[https://wikirate.org/Laureen_van_Breen].....2025-08-11 12:17:42 UTC</t>
  </si>
  <si>
    <t>https://wikirate.org/~22209298</t>
  </si>
  <si>
    <t>https://wikirate.org/~22209422</t>
  </si>
  <si>
    <t>https://wikirate.org/~22210563</t>
  </si>
  <si>
    <t>Not disclosed Lucia Ixtacuy[https://wikirate.org/Lucia_Ixtacuy].....2025-08-13 08:42:23 UTC</t>
  </si>
  <si>
    <t>https://wikirate.org/~22210569</t>
  </si>
  <si>
    <t>ESRS G1-5 is listed but no disclosure is made. Lucia Ixtacuy[https://wikirate.org/Lucia_Ixtacuy].....2025-08-13 08:45:05 UTC</t>
  </si>
  <si>
    <t>https://wikirate.org/~22211095</t>
  </si>
  <si>
    <t>https://wikirate.org/~22211379</t>
  </si>
  <si>
    <t>not material p. 157 Yohann[https://wikirate.org/Yohann].....2025-08-13 14:48:41 UTC</t>
  </si>
  <si>
    <t>https://wikirate.org/~22211627</t>
  </si>
  <si>
    <t>p.175 Lobbying and political influence is not included in the list of disclosues Aureliane[https://wikirate.org/Aureliane].....2025-08-26 15:14:56 UTC</t>
  </si>
  <si>
    <t>https://wikirate.org/~22211734</t>
  </si>
  <si>
    <t>p.57: Political engagement is not material Aureliane[https://wikirate.org/Aureliane].....2025-08-27 11:44:18 UTC</t>
  </si>
  <si>
    <t>https://wikirate.org/~22218206</t>
  </si>
  <si>
    <t>pp. 55 and 56 "Political donations EnBW made political donations in 2024 totaling ‚Ç¨2.8 million." Yohann[https://wikirate.org/Yohann].....2025-08-14 10:57:54 UTC</t>
  </si>
  <si>
    <t>https://wikirate.org/~22218244</t>
  </si>
  <si>
    <t>Table on p. 100 "In the fiscal year 2024, HENSOLDT made the following contributions: ..." p. 101: " HENSOLDT did not provide any in-kind contributions or donations to political parties in fiscal year 2024. As part of the sustainability reporting, the relevant data was requested from the entities on the basis of ESRS G1-5 and listed cumulatively." Lucia Ixtacuy[https://wikirate.org/Lucia_Ixtacuy].....2025-08-14 12:32:34 UTC</t>
  </si>
  <si>
    <t>https://wikirate.org/~22218749</t>
  </si>
  <si>
    <t>https://wikirate.org/~22218856</t>
  </si>
  <si>
    <t>p.116: Lobbying and political influence not included in the list of disclosed topics Aureliane[https://wikirate.org/Aureliane].....2025-08-26 14:30:48 UTC</t>
  </si>
  <si>
    <t>https://wikirate.org/~22218955</t>
  </si>
  <si>
    <t>Section on political engagement but no budget disclosure. p.43 "Our participation in trade associations is subject to management approval and oversight. We publicly disclose and annually update a list of those U.S. trade associations to which John Deere pays dues or makes other contributions of $50,000 USD or more, as well as the portions of such dues or payments that are not deductible under Section 162(e)(1) of the Internal Revenue Code. To view the 2024 report for U.S. trade association memberships and expenditures, please click here. 43ENVIRONMENTALINDICES AND REPORTS||||SOCIALGOVERNANCEOUR SUSTAINABILITY APPROACH" Aureliane[https://wikirate.org/Aureliane].....2025-08-27 10:20:40 UTC p. 43 "JDPAC does not take positions on legislative matters or engage in lobbying activity. Further, JDPAC does not seek to influence any specific vote or decision through contributions. As required by law, JDPAC fully discloses all contributions made and received through reports filed with the U.S. Federal Election Commis...</t>
  </si>
  <si>
    <t>https://wikirate.org/~22219030</t>
  </si>
  <si>
    <t>P. 5 "Furthermore, Amprion does not make donations to any political parties." Lucia Ixtacuy[https://wikirate.org/Lucia_Ixtacuy].....2025-08-19 13:23:19 UTC</t>
  </si>
  <si>
    <t>https://wikirate.org/~22219154</t>
  </si>
  <si>
    <t>https://wikirate.org/~22219233</t>
  </si>
  <si>
    <t>P232: "As described in our Bayer Code of Conduct for Responsible Lobbying, we as a company do not donate to political parties, politicians or candidates for political office (2023: ‚Ç¨0). According to US law, however, local company employees can support individual candidates for political office by making private donations through political action committees, or PACs, at the federal level...Our employees donated around ‚Ç¨278,000 to political candidates at all levels through BAYERPAC in 2024" Marc McGowan[https://wikirate.org/Marc_McGowan].....2025-08-15 11:43:15 UTC</t>
  </si>
  <si>
    <t>https://wikirate.org/~22219325</t>
  </si>
  <si>
    <t>https://wikirate.org/~22219881</t>
  </si>
  <si>
    <t>https://wikirate.org/~22219886</t>
  </si>
  <si>
    <t>https://wikirate.org/~22245916</t>
  </si>
  <si>
    <t>Several mentions of lobbying expenses, but not concrete figure is given, e.g. p151 of the PDF "On other subtopics, the Company notably considered the amount of lobbying expenses, the amounts spent to its suppliers, related payment terms, as well as the structure of its supply chain" Lucia Ixtacuy[https://wikirate.org/Lucia_Ixtacuy].....2025-09-15 08:39:04 UTC</t>
  </si>
  <si>
    <t>https://wikirate.org/~22246050</t>
  </si>
  <si>
    <t>https://wikirate.org/~22246134</t>
  </si>
  <si>
    <t>https://wikirate.org/~22246326</t>
  </si>
  <si>
    <t>https://wikirate.org/~22246425</t>
  </si>
  <si>
    <t>p. 72 Laureen van Breen[https://wikirate.org/Laureen_van_Breen].....2025-08-19 12:38:47 UTC "We publish statements on particularly important issues or decisions. SWM is registered in the respective transparency/lobby registers under the following numbers: Lobby Register Number (Bavaria): DEBYLT0164 Lobby Register Number (national): R000611 Transparency Register Number (Brussels): 17284292859-45" Lucia Ixtacuy[https://wikirate.org/Lucia_Ixtacuy].....2025-09-12 11:10:49 UTC</t>
  </si>
  <si>
    <t>https://wikirate.org/~22246465</t>
  </si>
  <si>
    <t>https://wikirate.org/~22246663</t>
  </si>
  <si>
    <t>p. 69 Laureen van Breen[https://wikirate.org/Laureen_van_Breen].....2025-08-19 20:20:14 UTC</t>
  </si>
  <si>
    <t>https://wikirate.org/~22246799</t>
  </si>
  <si>
    <t>https://wikirate.org/~22246935</t>
  </si>
  <si>
    <t>p. 200 they mention that the 'total annual lobbying spending can be gleaned' from their entries in the EU transparency register and German lobby register, but they do not actually disclose the budget in their report. Laureen van Breen[https://wikirate.org/Laureen_van_Breen].....2025-08-20 09:21:26 UTC p. 198 "Evonik does not donate to political parties, but did sponsor a number of political events in 2024 with donations in cash and in kind. The related expenses totaled ‚Ç¨135 thousand. Our total annual lobbying spending can be gleaned from the above-mentioned entries in the European Transparency Register and German lobby register. This expenditure is composed of personnel expenses, infrastructure expenses (rent, IT expenses, company cars, etc.), representation expenses (travel expenses, participation fees, etc.), expenses for external advisory and support services (agencies), and other expenses related to lobbying (memberships, training, own events, etc.). The information in the European Transparency Registe...</t>
  </si>
  <si>
    <t>https://wikirate.org/~22247045</t>
  </si>
  <si>
    <t>https://wikirate.org/~22247125</t>
  </si>
  <si>
    <t>https://wikirate.org/~22247399</t>
  </si>
  <si>
    <t>p185 "In 2024, the expenses for lobbying activities carried out exclusively by the Group's non-Italian Subsidiaries in the countries in which it is permitted by the relevant regulations in force, amounted to approximately USDmil. 2 (about USDmil. 2 in 2023 and USDmil. 1.7 in 2022) and mainly related to the United States and, to a lesser extent, Germany and Poland." Thomas Howie[https://wikirate.org/Thomas_Howie].....2025-08-20 14:18:39 UTC</t>
  </si>
  <si>
    <t>https://wikirate.org/~22247832</t>
  </si>
  <si>
    <t>https://wikirate.org/~22249943</t>
  </si>
  <si>
    <t>The company regards its lobbying activities as material. Lobbying functions within the company are described, but the overall budget is not disclosed. The report states that "WACKER did not make any material donation payments" - suggesting that the company didn't make political contributions. p. 212 Our Lobbying function falls under the responsibility of the full Executive Board. Within our Group organization, it is Wacker Chemie AG‚Äôs Legal and Compliance department that is responsible and reports to the president and CEO. In Europe, two Legal and Compliance department employees in Berlin and Brussels, respectively, are responsible for our lobbying. In the USA and China, these activities are conducted by local organizational units led by the central Legal and Compliance department.The CEO actively participates in public debate in the form of interviews, appearances at symposiums, and statements that we publish on our website. In the year under review, WACKER did not make any material donation payments. Aur...</t>
  </si>
  <si>
    <t>https://wikirate.org/~22250809</t>
  </si>
  <si>
    <t>https://wikirate.org/~22197852</t>
  </si>
  <si>
    <t>p. 217 "In addition, the Mercedes-Benz Group continued its risk-based audits of direct and indirect suppliers in the year 2024. If on-site visits reveal deficiencies at a supplier, the Mercedes-Benz Group asks the supplier to improve the relevant processes. If the supplier does not improve the respective processes adequately, the Group decides on further steps on an individual basis. In particularly serious cases, management committees are also involved. In the last analysis, this can lead to the Mercedes-Benz Group severing its relationship with a supplier." Lucia Ixtacuy[https://wikirate.org/Lucia_Ixtacuy].....2025-08-05 15:18:46 UTC</t>
  </si>
  <si>
    <t>https://wikirate.org/~22204289</t>
  </si>
  <si>
    <t>P394: "The Volkswagen Group responds to negative impacts in the areas of working conditions and other workrelated rights. Preventive actions within the ReSC system have an impact here, including confirmation of the Code of Conduct for Business Partners, the sustainability rating (S-Rating), training courses for suppliers, and the HRFS, as do mitigation and remedial action such as the supply chain grievance mechanism (SCGM) and supplier audits." Marc McGowan[https://wikirate.org/Marc_McGowan].....2025-08-06 07:44:07 UTC</t>
  </si>
  <si>
    <t>https://wikirate.org/~22204520</t>
  </si>
  <si>
    <t>P175: in response to social and environmental responsibility in the supplier network- "On-site assessments of supplier locations (on-site assessment)" Marc McGowan[https://wikirate.org/Marc_McGowan].....2025-08-06 08:38:14 UTC</t>
  </si>
  <si>
    <t>https://wikirate.org/~22205831</t>
  </si>
  <si>
    <t>No information on audits of suppliers was found Lucia Ixtacuy[https://wikirate.org/Lucia_Ixtacuy].....2025-08-06 15:21:43 UTC p. 145 "To increase customer satisfaction, review compliance with legal requirements, and ensure conformity with international standards, the Jenoptik Group conducts supplier audits. A risk based list of suppliers to be reviewed annually is compiled and regularly updated. The results of these audits, which are usually carried out on site at the supplier‚Äôs premises, are recorded in a central database in audit reports with specific plans for corrective actions. The implementation of these measures is systematically verified and documented. For supplier development, we expect suppliers to formulate improvement plans and implement them within a clearly defined timeframe" Lucia Ixtacuy[https://wikirate.org/Lucia_Ixtacuy].....2025-08-06 15:27:03 UTC</t>
  </si>
  <si>
    <t>https://wikirate.org/~22205853</t>
  </si>
  <si>
    <t>P149: "The operational tasks include specific preventive and remedial measures regarding the supply chain, e.g. alignment of procurement strategies and practices, definition of contractual agreements and implementation of control mechanisms as well as training of purchasers and suppliers. Selected suppliers are assessed on the basis of various criteria using self-assessment questionnaires obtained via the generally accepted sustainability platforms for our industries, such as EcoVadis and NQC. In addition, selective on-site audits or other audit activities are also carried out, for example in relation to the existence of environmental management systems." Marc McGowan[https://wikirate.org/Marc_McGowan].....2025-08-27 08:02:04 UTC</t>
  </si>
  <si>
    <t>https://wikirate.org/~22206373</t>
  </si>
  <si>
    <t>p.57 "HELM also conducts human rights audits at partner sites or requests partners to undergo sustainability training when necessary. We are monitoring whether our partners have signed our Supplier Code of Conduct or provided their own. By signing, suppliers commit to compliance with all applicable regulations, respecting and protecting human rights and adhering to social and environmental standards. Our global Health, Safety, Environment &amp; Quality (HSEQ) Team considers all these criteria in our supplier qualification and evaluation process. As a globally operating company, HELM has a great responsibility towards its partners and especially towards smaller partners (e.g. SMEs) to ensure fair payment practices. Payment terms differ depending on the industry and region. HELM consistently strives to ensure timely payments to all its partners, regardless of their size, maintaining a reputation as a reliable and trustworthy payer...." Lucia Ixtacuy[https://wikirate.org/Lucia_Ixtacuy].....2025-08-07 12:41:23 UTC</t>
  </si>
  <si>
    <t>https://wikirate.org/~22206579</t>
  </si>
  <si>
    <t>https://wikirate.org/~22207072</t>
  </si>
  <si>
    <t>p. 37 "Both business partners and suppliers are required to sign a code of conduct. In addition, depending on their risk classification, audits can be conducted on the business partners‚Äô premises by the Siemens audit function or external service providers. " Lucia Ixtacuy[https://wikirate.org/Lucia_Ixtacuy].....2025-08-08 16:13:47 UTC</t>
  </si>
  <si>
    <t>https://wikirate.org/~22207083</t>
  </si>
  <si>
    <t>p. 158 "The Schaeffler Group actively promotes the establishment of this assessment standard by requesting selected suppliers to conduct an audit according to the RSCI standard. " Lucia Ixtacuy[https://wikirate.org/Lucia_Ixtacuy].....2025-08-08 16:25:59 UTC</t>
  </si>
  <si>
    <t>https://wikirate.org/~22208637</t>
  </si>
  <si>
    <t>"In addition to our supplier audits conducted by internal auditors, we also draw on the results of compatible third-party audits. " p. 80 Laureen van Breen[https://wikirate.org/Laureen_van_Breen].....2025-08-11 07:51:11 UTC</t>
  </si>
  <si>
    <t>https://wikirate.org/~22208711</t>
  </si>
  <si>
    <t>P106: Biodiversity topics part of supplier audits Marc McGowan[https://wikirate.org/Marc_McGowan].....2025-08-11 08:14:25 UTC p 174 "The safety of subcontractors is just as important as that of GEA‚Äôs own workforce. Occupational safety is therefore not only an integral part of the supplier terms and conditions, which are specified in the Code of Conduct for Suppliers and Subcontractors, but also a core element of GEA supplier screening and a regular component of supplier audits." Thomas Howie[https://wikirate.org/Thomas_Howie].....2025-09-02 12:58:21 UTC p 174 "The safety of subcontractors is just as important as that of GEA‚Äôs own workforce. Occupational safety is therefore not only an integral part of the supplier terms and conditions, which are specified in the Code of Conduct for Suppliers and Subcontractors, but also a core element of GEA supplier screening and a regular component of supplier audits." Thomas Howie[https://wikirate.org/Thomas_Howie].....2025-09-02 13:00:08 UTC p 174 "The safety of subcon...</t>
  </si>
  <si>
    <t>https://wikirate.org/~22208757</t>
  </si>
  <si>
    <t>p. 44 "Supplier registration, assessment, and approval Regulatory requirements, such as those in the German Supply Chain Act, highlight the importance of due diligence in identifying sustainability risks at an early stage. We rely on state-of-the-art technology to track and monitor compliance with human rights, labor practices, and environmental issues. When selecting suppliers, we consider their compliance with certified quality and environmental management standards, which are assessed as part of the initial audits. A successful initial audit is required for inclusion in our supplier panel. We have also introduced standardized supplier scorecards in our common Supplier Portal to facilitate the self-assessment of suppliers." Laureen van Breen[https://wikirate.org/Laureen_van_Breen].....2025-08-11 09:16:32 UTC</t>
  </si>
  <si>
    <t>https://wikirate.org/~22209029</t>
  </si>
  <si>
    <t>"In the event of human rights or environmental incidents at a direct supplier, it is necessary to run through a defined escalation process. This process describes among other things how the incident is to be examined and how to draft an action plan together with the supplier. One possibility of how to review the circumstances or the drafted action plan is to perform a Supply Chain Act review or a supplier audit on site. This procedure also applies to indirect suppliers in the event of reported or known infringements." (p. 30) Laureen van Breen[https://wikirate.org/Laureen_van_Breen].....2025-08-11 12:26:54 UTC</t>
  </si>
  <si>
    <t>https://wikirate.org/~22209313</t>
  </si>
  <si>
    <t>P94:"An important part of our HRDD approach is the involvement of stakeholders and people potentially affected by human rights violations in the value chain. One of the instruments we use in this context are on-site audits carried out by independent third parties. The standardized audits are intended to create a high level of transparency and comparability among manufacturers and suppliers with regard to sustainable working conditions." Marc McGowan[https://wikirate.org/Marc_McGowan].....2025-08-27 08:43:14 UTC</t>
  </si>
  <si>
    <t>https://wikirate.org/~22209450</t>
  </si>
  <si>
    <t>https://wikirate.org/~22210583</t>
  </si>
  <si>
    <t>p. 212 "The TfS audits review ad hoc criteria in the areas of management, environment, health, safety, labor and human rights, and business conduct. If the TfS audits detect anomalies, the suppliers develop corrective actionplans, and implementation of these is re-reviewed by the auditor within 12 months in the case of important or critical findings.1) ". TFS Together for sustainability p. 128 "This is why LANXESS is a founding member of the ‚ÄúTogether for Sustainability‚Äù initiative (TfS). 1) TfS has established itself in the chemicals industry as a frequently applied sector standard for sustainable supply chains. " Lucia Ixtacuy[https://wikirate.org/Lucia_Ixtacuy].....2025-08-13 08:54:22 UTC</t>
  </si>
  <si>
    <t>https://wikirate.org/~22211294</t>
  </si>
  <si>
    <t>p129 (p10 in PDF viewer) "Together for Sustainability initiative and the associated audits, events, and workshops with suppliers on the subject of sustainability; continuous exchange via employees responsible for procurement, including Supplier Code of Conduct; reporting suspected or potential human rights abuses using our existing whistleblower tool " Thomas Howie[https://wikirate.org/Thomas_Howie].....2025-08-13 13:47:30 UTC p. 222: As a member of TfS, Covestro is responsible for monitoring and auditing the sustainability performance of its suppliers. TfS supports this effort by providing the supplier assessment infrastructure for online assessments and on-site audits of suppliers by third parties Aureliane[https://wikirate.org/Aureliane].....2025-08-29 13:55:47 UTC</t>
  </si>
  <si>
    <t>https://wikirate.org/~22211412</t>
  </si>
  <si>
    <t>"Our goal is for our suppliers to respect social and environmental standards and thus support our sustainability efforts with regard to human rights and the environment. We rely on a concept of binding requirements, screenings, and audits, as well as information and qualification measures for supplier" p. 135 Yohann[https://wikirate.org/Yohann].....2025-08-13 14:55:32 UTC</t>
  </si>
  <si>
    <t>https://wikirate.org/~22211636</t>
  </si>
  <si>
    <t>p. 156 first paragraph Yohann[https://wikirate.org/Yohann].....2025-08-13 15:56:51 UTC p. 141: outline of the process including audits to manage suppliers Aureliane[https://wikirate.org/Aureliane].....2025-08-26 15:16:29 UTC</t>
  </si>
  <si>
    <t>https://wikirate.org/~22211743</t>
  </si>
  <si>
    <t>"Henkel monitors its suppliers and conducts regular assessments as part of the responsible sourcing process. Henkel requests suppliers to complete assessments and/or disclose relevant policies and procedures, data and/or other information. In selected cases, Henkel also conducts on-site audits of suppliers‚Äô business oper- ations to check the conformity of business activities with the specified requirements. " p. 268 Yohann[https://wikirate.org/Yohann].....2025-08-13 16:41:03 UTC</t>
  </si>
  <si>
    <t>https://wikirate.org/~22218216</t>
  </si>
  <si>
    <t>"We engage directly with workers during on-site visits and audits." p. 205 Yohann[https://wikirate.org/Yohann].....2025-08-14 11:00:43 UTC p.207 "This includes improving the working conditions at suppliers, promoting occupational safety by monitoring accident rates in the value chain and using evaluations of supplier audits to improve transparency." Aureliane[https://wikirate.org/Aureliane].....2025-08-27 13:24:52 UTC</t>
  </si>
  <si>
    <t>https://wikirate.org/~22218250</t>
  </si>
  <si>
    <t>p. 58 " The Code of Conduct applies to all employees, suppliers and business partners. Strict anti-corruption guidelines, regular training and audits as well as a robust whistle-blower system are designed to promote fair business practices and prevent offences." Lucia Ixtacuy[https://wikirate.org/Lucia_Ixtacuy].....2025-08-14 12:42:11 UTC p. 81 ""Suppliers: HENSOLDT is strongly committed to working closely with suppliers to ensure that high ethical, environmental and social responsibility standards are maintained throughout the supply chain. HENSOLDT selects its partners carefully and expects them to share the HENSOLDT values and abide by the HENSOLDT compliance guidelines. Audits and assessments conducted on an ad hoc basis help to check and continuously improve compliance with these standards. Lucia Ixtacuy[https://wikirate.org/Lucia_Ixtacuy].....2025-08-14 12:58:35 UTC</t>
  </si>
  <si>
    <t>https://wikirate.org/~22218537</t>
  </si>
  <si>
    <t>p 174 "This assessment is based on analyses of our business operations, insights from supplier audits, as well as on-site inspections and safety audits on construction sites. " Lucia Ixtacuy[https://wikirate.org/Lucia_Ixtacuy].....2025-08-14 14:14:02 UTC</t>
  </si>
  <si>
    <t>https://wikirate.org/~22218762</t>
  </si>
  <si>
    <t>https://wikirate.org/~22218865</t>
  </si>
  <si>
    <t>p. 188 last paragraph on the left Yohann[https://wikirate.org/Yohann].....2025-08-14 16:31:01 UTC p. 188 HELLA reserves the right to verify suppliers' compli-ance with human rights and environmental obliga-tions through self-assessments, on-site visits and audits. If any of these audits reveal violations of the Code of Conduct, human rights or environmental requirements, corrective measures must be taken within a reasonable period of time. Aureliane[https://wikirate.org/Aureliane].....2025-08-26 14:34:24 UTC</t>
  </si>
  <si>
    <t>https://wikirate.org/~22218964</t>
  </si>
  <si>
    <t>"Our focus on human rights remains a critical component of our strategy. We utilize tools like inherent risk assessments, sustainability scorecards, and internal audits to develop a Supplier Risk Profile Index (RPI) that specifically targets human rights risks." p. 36 Yohann[https://wikirate.org/Yohann].....2025-08-14 17:20:39 UTC p.36 they disclose the number of supplier audits conducted. Aureliane[https://wikirate.org/Aureliane].....2025-08-27 10:22:20 UTC</t>
  </si>
  <si>
    <t>https://wikirate.org/~22219038</t>
  </si>
  <si>
    <t>https://wikirate.org/~22219162</t>
  </si>
  <si>
    <t>https://wikirate.org/~22208770</t>
  </si>
  <si>
    <t>Enercon GmbH</t>
  </si>
  <si>
    <t>https://wikirate.org/~22208762</t>
  </si>
  <si>
    <t>https://wikirate.org/~22247300</t>
  </si>
  <si>
    <t>RTX Corporation</t>
  </si>
  <si>
    <t>https://wikirate.org/~22247291</t>
  </si>
  <si>
    <t>Found entries in the Annual Reports and XBRL filings databases too, but those were not including any non-financial (ESG/susty) data. Laureen van Breen[https://wikirate.org/Laureen_van_Breen].....2025-08-20 13:35:19 UTC</t>
  </si>
  <si>
    <t>https://wikirate.org/~22250830</t>
  </si>
  <si>
    <t>Heckler &amp; Koch AG</t>
  </si>
  <si>
    <t>https://wikirate.org/~22250823</t>
  </si>
  <si>
    <t>https://wikirate.org/~22208775</t>
  </si>
  <si>
    <t>https://wikirate.org/~21496892</t>
  </si>
  <si>
    <t>https://wikirate.org/~22219188</t>
  </si>
  <si>
    <t>https://wikirate.org/~21496712</t>
  </si>
  <si>
    <t>https://wikirate.org/~22247307</t>
  </si>
  <si>
    <t>https://wikirate.org/~21495979</t>
  </si>
  <si>
    <t>https://prd-sc102-cdn.rtx.com/-/media/rtx/social-impact/our-esg-vision/esg-2024/report/2023-rtx-esgreport.pdf?rev=5bde58ff893343f6981110a6f24dcea0&amp;hash=3C9402C77F8DDCC9296378D798F8AE41</t>
  </si>
  <si>
    <t>https://wikirate.org/~22250841</t>
  </si>
  <si>
    <t>https://wikirate.org/~22250834</t>
  </si>
  <si>
    <t>https://wikirate.org/~22208796</t>
  </si>
  <si>
    <t>https://wikirate.org/~22247330</t>
  </si>
  <si>
    <t>https://wikirate.org/~22250877</t>
  </si>
  <si>
    <t>https://wikirate.org/~22208801</t>
  </si>
  <si>
    <t>During the reporting period from January to December 2023 (...) p.20 Laureen van Breen[https://wikirate.org/Laureen_van_Breen].....2025-08-11 09:35:36 UTC</t>
  </si>
  <si>
    <t>https://wikirate.org/~22247335</t>
  </si>
  <si>
    <t>It just says, "in 2023" in several places (e.g. p. 3) but no specifics are given and to from when to when the reporting period runs. Laureen van Breen[https://wikirate.org/Laureen_van_Breen].....2025-08-20 13:52:14 UTC</t>
  </si>
  <si>
    <t>https://wikirate.org/~22250882</t>
  </si>
  <si>
    <t>https://wikirate.org/~22208826</t>
  </si>
  <si>
    <t>Example of 'alongside disclosure': p. 36 Index: p. 39 Laureen van Breen[https://wikirate.org/Laureen_van_Breen].....2025-08-11 09:48:39 UTC</t>
  </si>
  <si>
    <t>https://wikirate.org/~22247538</t>
  </si>
  <si>
    <t>https://wikirate.org/~22250898</t>
  </si>
  <si>
    <t>https://wikirate.org/~22208832</t>
  </si>
  <si>
    <t>https://wikirate.org/~22247543</t>
  </si>
  <si>
    <t>https://wikirate.org/~22250903</t>
  </si>
  <si>
    <t>https://wikirate.org/~22208786</t>
  </si>
  <si>
    <t>https://wikirate.org/~22247318</t>
  </si>
  <si>
    <t>example page: 44 It should be noted however that the approach is not consistent.. The code of conduct link links to a landing page, the human rights policy link gives an error message, and then the conflict minerals and modern slavery statement links are direct links to the reference document. Laureen van Breen[https://wikirate.org/Laureen_van_Breen].....2025-08-20 13:45:41 UTC</t>
  </si>
  <si>
    <t>https://wikirate.org/~22250852</t>
  </si>
  <si>
    <t>Example p.28: mentions of Supplier Code of Conduct but no links Aureliane[https://wikirate.org/Aureliane].....2025-08-28 12:59:28 UTC</t>
  </si>
  <si>
    <t>https://wikirate.org/~22208791</t>
  </si>
  <si>
    <t>https://wikirate.org/~22247324</t>
  </si>
  <si>
    <t>https://www.rtx.com/who-we-are/ethics-and-compliance Aureliane[https://wikirate.org/Aureliane].....2025-09-01 10:51:10 UTC</t>
  </si>
  <si>
    <t>https://wikirate.org/~22250872</t>
  </si>
  <si>
    <t>https://wikirate.org/~22250865</t>
  </si>
  <si>
    <t>https://wikirate.org/~22208853</t>
  </si>
  <si>
    <t>https://wikirate.org/~22247564</t>
  </si>
  <si>
    <t>https://wikirate.org/~22250924</t>
  </si>
  <si>
    <t>https://wikirate.org/~22208780</t>
  </si>
  <si>
    <t>Does not go very far back though.. Laureen van Breen[https://wikirate.org/Laureen_van_Breen].....2025-08-11 09:25:00 UTC</t>
  </si>
  <si>
    <t>https://wikirate.org/~22247312</t>
  </si>
  <si>
    <t>Only the 2023 report is available. Laureen van Breen[https://wikirate.org/Laureen_van_Breen].....2025-08-20 13:41:52 UTC</t>
  </si>
  <si>
    <t>https://wikirate.org/~22250846</t>
  </si>
  <si>
    <t>I also tried using the website's search tool and filtering downloads. No sustainability reports from previous years were available. Aureliane[https://wikirate.org/Aureliane].....2025-08-28 12:56:09 UTC</t>
  </si>
  <si>
    <t>https://wikirate.org/~22208807</t>
  </si>
  <si>
    <t>https://wikirate.org/~22247341</t>
  </si>
  <si>
    <t>https://wikirate.org/~22250887</t>
  </si>
  <si>
    <t>https://wikirate.org/~22208820</t>
  </si>
  <si>
    <t>GRI</t>
  </si>
  <si>
    <t>"This sustainability report is prepared with reference to the GRI Standards 2021. Starting in 2025, ENERCON will adhere to the EU Sustainability Reporting Directive (CSRD), with the drafts of the underlying European Sustainability Reporting Standards (ESRS) already serving as guide for improving transparency." p. 7 Laureen van Breen[https://wikirate.org/Laureen_van_Breen].....2025-08-11 09:45:21 UTC</t>
  </si>
  <si>
    <t>https://wikirate.org/~22247532</t>
  </si>
  <si>
    <t>"We provide details of our climate governance, strategy, risk management, metrics and goals in our 2023 CDP disclosure. The CDP questionnaire is aligned with the recommendations of the Task Force on Climate-related Financial Disclosures (TCFD), and we are committed to continue to align our disclosures with the TCFD recommendations as incorporated into the International Sustainability Standards Board (ISSB) standards. Our TCFD Index can be found in the Appendix of this report." p. 28 " For additional performance data and disclosures, including our Global Reporting Initiative (GRI) index, Sustainability Accounting Standards Board (SASB) disclosure and Task Force on Climate-Related Financial Disclosures (TCFD) index, view our Expanded ESG Report Appendix. " p. 46 These statements indicate that they used a number of standards but they do not seem to have used them for any of the disclosures in this report. Seeing it talks about 'alignment' rather than actually using it for their reporting have gone for not acc...</t>
  </si>
  <si>
    <t>https://wikirate.org/~22250892</t>
  </si>
  <si>
    <t>The company has not yet aligned their reporting with CSRD. p. 35 "Zum Berichts-jahr2025 werden wir dann auf ein CSRD-Reporting umstellen(Corporate Sustainability Reporting Directive)." Mention of alignement with SDGs (UN-Ziele) Aureliane[https://wikirate.org/Aureliane].....2025-08-28 13:25:02 UTC</t>
  </si>
  <si>
    <t>https://wikirate.org/~22208837</t>
  </si>
  <si>
    <t>https://wikirate.org/~22247548</t>
  </si>
  <si>
    <t>https://wikirate.org/~22250908</t>
  </si>
  <si>
    <t>https://wikirate.org/~22208842</t>
  </si>
  <si>
    <t>"As a result, we were able to confirm the current material topics as a meaningful focus and collect valuable details for the development of our new Sustainability Strategy and Materiality Analysis in line with the EU Corporate Sustainability Reporting Directive (CSRD) in 2024." (p. 13) Sounds like this plan to do a double materiality assessment (as the CSRD requires) for their 2024 reporting. Laureen van Breen[https://wikirate.org/Laureen_van_Breen].....2025-08-11 09:52:27 UTC</t>
  </si>
  <si>
    <t>https://wikirate.org/~22247553</t>
  </si>
  <si>
    <t>https://wikirate.org/~22250913</t>
  </si>
  <si>
    <t>No mention of doppelte Wesentlichkeitsanalyse / Wesentlichkeit. The company has not yet aligned their reporting with CSRD. Aureliane[https://wikirate.org/Aureliane].....2025-08-28 13:32:06 UTC</t>
  </si>
  <si>
    <t>https://wikirate.org/~22208848</t>
  </si>
  <si>
    <t>https://wikirate.org/~22247558</t>
  </si>
  <si>
    <t>p. 8 Laureen van Breen[https://wikirate.org/Laureen_van_Breen].....2025-08-20 19:17:03 UTC</t>
  </si>
  <si>
    <t>https://wikirate.org/~22250919</t>
  </si>
  <si>
    <t>https://wikirate.org/~22208858</t>
  </si>
  <si>
    <t>"All our magnet suppliers are required to be rated by EcoVadis and only those who pass audits from our Global Procurement function are approved. " (p. 37) Sounds like only a subset of suppliers is being audited though... Laureen van Breen[https://wikirate.org/Laureen_van_Breen].....2025-08-11 09:55:22 UTC</t>
  </si>
  <si>
    <t>https://wikirate.org/~22247569</t>
  </si>
  <si>
    <t>"We investigate whether suppliers satisfy these standards through human rights-related questions in conjunction with our initial supplier screening and onboarding process, as well as through annual supplier certifications. We also examine suppliers for potential human rights impacts related to their products or services. Our business units review the results of these screenings to identify areas of heightened risk. " p. 44 Audits are not specifically mentioned... but it sounds like they might be doing them. Laureen van Breen[https://wikirate.org/Laureen_van_Breen].....2025-08-20 19:26:22 UTC Annual supplier certifications most likely means they conduct audits, but the certification process could also be done via questionnaires... Aureliane[https://wikirate.org/Aureliane].....2025-09-01 10:55:35 UTC</t>
  </si>
  <si>
    <t>https://wikirate.org/~22250929</t>
  </si>
  <si>
    <t>In preparation for LkSG, they've been conducting "random" on-site audits with suppliers. p. 28 Als Pr√§ventionsma√ünahmen zur Einhaltung des LkSG haben wir folgende Ma√ünahmen vorgesehen:Selbstauskunft des Lieferanten: Anhand der Selbstauskunft beurteilen wir, ob direkte Lieferanten die Anforderungen an die Einhaltung der Menschenrechte und das Thema Nachhaltigkeit erf√ºllen. Stichprobenartig f√ºhren wir auch Vor-Ort-Audits durch und √ºberpr√ºfen die Richtigkeit der mitgeteilten An-gaben und f√ºhren Gespr√§che mit den Lieferanten. Aureliane[https://wikirate.org/Aureliane].....2025-08-28 15:46:37 UTC</t>
  </si>
  <si>
    <t>Companies</t>
  </si>
  <si>
    <t xml:space="preserve">Company: </t>
  </si>
  <si>
    <t>Preliminary Score:</t>
  </si>
  <si>
    <t>Metric title</t>
  </si>
  <si>
    <t>Metric question</t>
  </si>
  <si>
    <t xml:space="preserve">Answer </t>
  </si>
  <si>
    <t xml:space="preserve">Score </t>
  </si>
  <si>
    <t>Researcher Comments</t>
  </si>
  <si>
    <t>Source cited</t>
  </si>
  <si>
    <t>Answer options</t>
  </si>
  <si>
    <t>Metrics</t>
  </si>
  <si>
    <t>Where does the company make their non-financial report available?</t>
  </si>
  <si>
    <t xml:space="preserve">What format(s) does the company publish its non-financial report in? </t>
  </si>
  <si>
    <t>Does the company archive its non-financial reports?</t>
  </si>
  <si>
    <t>Does the company provide direct links to the policies or documents that it references in their non-financial report?</t>
  </si>
  <si>
    <t>Does the company archive the policies or other external documents it refers to in its non-financial report?</t>
  </si>
  <si>
    <t xml:space="preserve">Did the company identify which reporting entities are covered in their non-financial report using entity IDs? </t>
  </si>
  <si>
    <t>Did the company specify which timeframe the data in their non-financial report refers to?</t>
  </si>
  <si>
    <t>Does the page numbering of the company's non-financial report align with the numbering of the (PDF) viewer tool?</t>
  </si>
  <si>
    <t>Which of the following standards does the company use for its non-financial reporting?</t>
  </si>
  <si>
    <t>Did the company integrate indicator codes in its report to help identify which disclosure requirements it has reported on?</t>
  </si>
  <si>
    <t>Did the company make explicit what data license applies to the data it has published in their non-financial report?</t>
  </si>
  <si>
    <t>Did the company apply an open or closed data license to their non-financial report?</t>
  </si>
  <si>
    <t>Did the company conduct a double materiality assessment to inform its non-financial reporting?</t>
  </si>
  <si>
    <t>Did the company disclose the size of their lobbying budget on social and environmental issues?</t>
  </si>
  <si>
    <t>Which level of assurance was given to the company's non-financial data?</t>
  </si>
  <si>
    <t xml:space="preserve">Did the company conduct supplier audits? </t>
  </si>
  <si>
    <t>Preview metrics (not scored)</t>
  </si>
  <si>
    <t>Helper Column</t>
  </si>
  <si>
    <t>Company response</t>
  </si>
  <si>
    <t>NA</t>
  </si>
  <si>
    <t>Own website = 5
Central database = 5
On request = 0
Nowhere = 0</t>
  </si>
  <si>
    <t>Yes = 10
No = 0</t>
  </si>
  <si>
    <t>Archive with current and historic documents  = 10
Library with current documents = 5
No = 0</t>
  </si>
  <si>
    <t>Company Registration Number/ID
Legal Entity Identifier (LEI)
Tax ID
International Securities Identification Number (ISIN)
OpenCorporates ID
SEC Central Index Key
Other
No
Use of 1 or more IDs = 10
No = 0</t>
  </si>
  <si>
    <t>GRI
ISSB (IFRS)
SASB
CSRD (ESRS)
CDP
CDSB
Greenhouse Gas Protocol
National standards
Other
None
Use of 1 or more standards = 10
None = 0</t>
  </si>
  <si>
    <t>Alongside disclosures 
Index with page references 
No
Any answer combination including ‘Alongside disclosure’ = 10
Only ‘Index’ = 5
No = 0</t>
  </si>
  <si>
    <t>Open license = 10
Closed license = 0
Not specified = 0</t>
  </si>
  <si>
    <t>Yes / No</t>
  </si>
  <si>
    <t>Limited assurance
Reasonable assurance
No assurance given</t>
  </si>
  <si>
    <t>PDF (text based)
PDF (image only)
Standalone XBRL file
Inline XBRL (iXBRL / XHTML with XBRL tags)
Web HTML page
Spreadsheet
No report available</t>
  </si>
  <si>
    <t># https://wikirate.org/Reporting_Integrity_Index+Answer?filter%5Bcompany_name%5D=&amp;export_type=answer&amp;format=csv&amp;view=detailed&amp;limit=5000&amp;utf8=%E2%9C%93</t>
  </si>
  <si>
    <t># 2025-09-22 12:20:23 UTC</t>
  </si>
  <si>
    <t>P192 BASF arranges third-party on-site audits Marc McGowan[https://wikirate.org/Marc_McGowan].....2025-08-14 15:10:30 UTC "We arrange for third parties to evaluate suppliers with a high sustainability risk using either on-site audits or sustainability assessments by rating agency EcoVadis. Supplier assessment is mainly performed as part of the chemical industry‚Äôs Together for Sustainability initiative." p.192 Laureen van Breen[https://wikirate.org/Laureen_van_Breen].....2025-09-21 20:13:45 UTC</t>
  </si>
  <si>
    <t>p. 144 Laureen van Breen[https://wikirate.org/Laureen_van_Breen].....2025-08-21 09:55:20 UTC P144:"Finanzielle Zuwendungen und Sachleistungen an Parteien sowie Mandatstr√§ger*innen wurden auch im Jahr 2024 nicht geleistet" Marc McGowan[https://wikirate.org/Marc_McGowan].....2025-09-01 10:39:59 UTC Although the company clearly states they did not make any donation or political contributions, it is also clear from the text that they do do lobbying and policy advice. So we would need to see more details here about the budget they have for engaging in those types of activities. Laureen van Breen[https://wikirate.org/Laureen_van_Breen].....2025-09-22 07:22:17 UTC</t>
  </si>
  <si>
    <t>p198, mentions Supply Chain Due Diligence but doesn't make clear what exactly they do. The function of the human rights officer described in the German Supply Chain Due Diligence Act (Lieferkettensorgfaltspflichtengesetz) is delegated to the KION Group‚Äôs Human Rights Committee, which reports to the Executive Board of KION GROUP AG Thomas Howie[https://wikirate.org/Thomas_Howie].....2025-08-19 12:16:45 UTC "As part of its direct business relationships, the KION Group assesses and evaluates tier 1 suppliers using the ESG supplier risk management process described in the ‚ÄòPolicies related to workers in the value chain‚Äô chapter. Where necessary, an escalation process is initiated in line with the KION Group‚Äôs existing guidelines." p.213 "The first step of the third stage is to analyze suppliers in detail and assess them by means of a desk audit, which primarily involves questionnaires and documentation checks. The next steps are defined and agreed on the basis of the desk audit results. These can include on-si...</t>
  </si>
  <si>
    <t>https://wikirate.org/~22335878</t>
  </si>
  <si>
    <t>p. 75-76 Laureen van Breen[https://wikirate.org/Laureen_van_Breen].....2025-09-22 11:53:13 UTC</t>
  </si>
  <si>
    <t>p86 (p52 in PDF viewer) The company references a supplier code of conduct and other Humanr Right based codes, however no reference is made to inspections or audits, simply that no violations were reported during the reporting period, "As part of the sustainable supply chain management system, Jungheinrich has established comprehensive guidelines to safeguard human rights along the entire value chain. These include the internal Group guidelines on corporate due diligence, the Policy Statement to Respect the Human Rights and the Supplier Code of Conduct. These guidelines are based on the German Supply Chain Act laws and international standards such as the UN Human Rights Charter, the UNGP, the OECD Guidelines for Multinational Business and the ILO core labour standards. There were no incidents relating to human rights violations nor non-compliance with the standards listed above in the reporting period" Thomas Howie[https://wikirate.org/Thomas_Howie].....2025-08-11 14:46:36 UTC p. 81 mentions audits and site...</t>
  </si>
  <si>
    <t>https://wikirate.org/~22335871</t>
  </si>
  <si>
    <t>PDF (text based), Web HTML page, Spreadsheet</t>
  </si>
  <si>
    <t>p. 217 also mentions xbrl but this only pertains to the financial disclosure Laureen van Breen[https://wikirate.org/Laureen_van_Breen].....2025-09-21 09:20:14 UTC</t>
  </si>
  <si>
    <t>https://www.enbw.com/annual-report-2024/ Yohann[https://wikirate.org/Yohann].....2025-08-14 10:24:24 UTC You can also download "All KPIs" in a spreadsheet. Laureen van Breen[https://wikirate.org/Laureen_van_Breen].....2025-09-21 19:18:20 UTC</t>
  </si>
  <si>
    <t>There is also XLSX file that can be downloaded. Laureen van Breen[https://wikirate.org/Laureen_van_Breen].....2025-09-21 10:09:32 UTC</t>
  </si>
  <si>
    <t>The webpage does not have text but does seem to report a comprehensive overview of GRI and SASB datapoints. Laureen van Breen[https://wikirate.org/Laureen_van_Breen].....2025-09-21 11:22:24 UTC</t>
  </si>
  <si>
    <t>There is also an entry for the report in the XBRL filings database, but only the financial data has been tagged. Laureen van Breen[https://wikirate.org/Laureen_van_Breen].....2025-09-21 12:16:08 UTC</t>
  </si>
  <si>
    <t>The BASF Report 2024 does identify the reporting entities covered in its report, but does not specify them using entity IDs. Niclas Kautz[https://wikirate.org/Niclas_Kautz].....2025-06-06 12:13:47 UTC Was not able to locate any entity IDs in the company's report. Laureen van Breen[https://wikirate.org/Laureen_van_Breen].....2025-08-08 09:00:16 UTC p. 336 "BASF SE (registered at the district trade register, or Amtsgericht, for Ludwigshafen am Rhein, number HRB 6000) is a publicly listed corporation headquartered in Ludwigshafen am Rhein, Germany. Its official address is Carl-Bosch-Str. 38, 67056 Ludwigshafen am Rhein, Germany." Laureen van Breen[https://wikirate.org/Laureen_van_Breen].....2025-09-21 20:00:52 UTC</t>
  </si>
  <si>
    <t>"Bayer Aktiengesellschaft (Bayer AG), which is entered in the commercial register of the Local Court of Cologne, Germany, HRB 48248, is a global enterprise based in Germany. Its registered office is at Kaiser-Wilhelm-Allee 1, 51368 Leverkusen. " p. 261 Laureen van Breen[https://wikirate.org/Laureen_van_Breen].....2025-09-21 20:35:47 UTC</t>
  </si>
  <si>
    <t>"The company was founded on April 19, 1982, and is registered in the Commercial Register of the F√ºrth Local Court (HRB No. 14738)." p. 183 (marked at p. 130 in the document pagination) Laureen van Breen[https://wikirate.org/Laureen_van_Breen].....2025-09-21 08:44:31 UTC</t>
  </si>
  <si>
    <t>"The Jungheinrich Aktiengesellschaft (Jungheinrich AG) is headquartered at Friedrich-Ebert-Damm 129in Hamburg (Germany) and is registered in the commercial register kept at the Hamburg District court under HRB 44885." p.137 Laureen van Breen[https://wikirate.org/Laureen_van_Breen].....2025-09-21 09:38:48 UTC</t>
  </si>
  <si>
    <t>p. 92, under the section "Notes to consolidated financial statement", I found the HRB number. However, it doesn't explicitly apply to their non-financial statement. The accompanying Consolidated Financial Statements as ofSeptember30,2024,present the operations of SiemensEnergyAGwith registered office atOtto-Hahn-Ring 6, 81739 Munich, Germany(registry number HRB 252581, local court Munich),and its subsidiaries(‚ÄòSiemensEnergy,‚Äô ‚Äòthe Group,‚Äô ‚Äòthe Company,‚Äô or ‚Äòwe‚Äô) Aureliane[https://wikirate.org/Aureliane].....2025-09-01 10:32:42 UTC "This Group non-financial statement of the SiemensEnergyGroup (SiemensEnergyor the Group) has been prepared in accordance with Section315 b to 315c German Commercial Code in conjunction with Section289 c to 289e German Commercial Code and the specifying reporting requirements of GAS20 (German Accounting Standard; ‚ÄúDeutscher Rechnungslegungs Standard‚Äù). " p. 49 In combination with this statement it seems that the HRB number is for Siemens Energy AG, while the non-financial stateme...</t>
  </si>
  <si>
    <t>p27 (p28 in PDF viewer) Thomas Howie[https://wikirate.org/Thomas_Howie].....2025-08-19 11:51:54 UTC The ISIN is disclosed in reference to their shares so it is not clear if this is also the same entity that is covered by the non-financial disclosures of the report. Laureen van Breen[https://wikirate.org/Laureen_van_Breen].....2025-09-21 10:26:43 UTC "KION GROUP AG, whose registered office is at Thea-Rasche-Strasse 8, 60549 Frankfurt am Main, Germany, is entered in the commercial register at the Frankfurt am Main local court under reference HRB 112163." p. 286 Laureen van Breen[https://wikirate.org/Laureen_van_Breen].....2025-09-21 10:28:30 UTC</t>
  </si>
  <si>
    <t>fiscal year 2024 Lucia Ixtacuy[https://wikirate.org/Lucia_Ixtacuy].....2025-07-21 18:06:13 UTC "We have conducted a limited assurance engagement on the Consolidated Sustainability Statement of Bayer Aktiengesellschaft, Leverkusen/Germany, for the financial year from January 1 to December 31, 2024, included in section ‚ÄúSustainability Statement‚Äù of the combined management report on the parent and the group." p. 361 Laureen van Breen[https://wikirate.org/Laureen_van_Breen].....2025-09-21 20:39:15 UTC</t>
  </si>
  <si>
    <t>There is only mention on p. i18 ""Separate and consolidated financial statements 2024....The report covers the period from Januar y 1, 2024, to December 31, 2024" Lucia Ixtacuy[https://wikirate.org/Lucia_Ixtacuy].....2025-08-11 13:17:39 UTC In combination with this statement on p. 97 (44 according document's own pagination) "This sustainability statement discloses required non-financial information for 2024 for both the Schaeffler Group and Schaeffler AG." I would say that is sufficient. But it certainly isn't ideal to have to piece together like this. Laureen van Breen[https://wikirate.org/Laureen_van_Breen].....2025-09-21 08:49:28 UTC</t>
  </si>
  <si>
    <t>From p67 onwards the sustainability figures are placed under a column "2024" Thomas Howie[https://wikirate.org/Thomas_Howie].....2025-08-11 13:49:28 UTC On page 182 the auditor's report clarifies (albeit for the financial disclosure assurance) that their fiscal year runs in parallel with the calendar year. "In addition, we have audited the group management report of ZF Friedrichshafen AG for the fiscal year from January 1 to December 31, 2024." So the reporting is not very explicit but I think we can say it covers the same time frame from the non-financial reporting. Laureen van Breen[https://wikirate.org/Laureen_van_Breen].....2025-09-22 08:23:03 UTC</t>
  </si>
  <si>
    <t>P35 (P1 in Pdf viewer) "In this chapter, Jungheinrich publishes the information required by law for the 2024 financial year in accordance with the CSR Directive Implementation Act (CSR-RUG)." Thomas Howie[https://wikirate.org/Thomas_Howie].....2025-08-11 14:29:00 UTC "The scope of consolidation corresponds to that found in the consolidated financial statements as of 31December 2024, with the exception of reporting in accordance with ESRS E1-6 as this requires additional consideration of all subsidiaries over which Jungheinrich exercises operational control." p. 36 Laureen van Breen[https://wikirate.org/Laureen_van_Breen].....2025-09-21 09:43:52 UTC</t>
  </si>
  <si>
    <t>p111 (p112 in pdf viewer) "Unless stated otherwise, the qualitative and quantitative disclosures in this sustainability report relate to the period of the KION Group‚Äôs financial year from January 1 to December 31, 2024." Thomas Howie[https://wikirate.org/Thomas_Howie].....2025-08-19 11:55:41 UTC</t>
  </si>
  <si>
    <t>p47 Thomas Howie[https://wikirate.org/Thomas_Howie].....2025-08-19 13:17:07 UTC "Lockheed Martin has reported the information cited in this GRI content index for the period January 1, 2024, through December 31, 2024, with reference to the GRI Standards." Laureen van Breen[https://wikirate.org/Laureen_van_Breen].....2025-09-21 11:37:27 UTC</t>
  </si>
  <si>
    <t>To provide stakeholders with a transparent picture of the Diehl Group‚Äòs sustainability performance, a Sustainability Report for the fiscal year 2024 was prepared on a voluntary basis. ( p. 7) No specifics are provided to indicate from when to when their fiscal year runs. Laureen van Breen[https://wikirate.org/Laureen_van_Breen].....2025-08-19 20:01:36 UTC Seeing that in Germany, the fiscal year runs from 1 January until 31 December, updating the answer to yes. Laureen van Breen[https://wikirate.org/Laureen_van_Breen].....2025-09-22 12:02:17 UTC</t>
  </si>
  <si>
    <t>There are many references to Gesch√§ftsjahres 2024 (Financial year). The report does not contain any sustainability data to which the reporting period would apply. Aureliane[https://wikirate.org/Aureliane].....2025-08-28 10:57:36 UTC Updated the research looking at their Sustainability report for FY 2024 and 2023. p. 3 "Der Bericht umfasst die Gesch√§ftsjahre 2023 und 2024 (1. Januar bis 31. Dezember). Da der Th√ºga Holding-Konzern aktuell nicht gesetzlich zur Nachhaltigkeitsberichterstattung verpflichtet ist, kann der Berichtszeitraum von dem der Finanzberichterstattung (Kalenderjahr) abweichen. " Laureen van Breen[https://wikirate.org/Laureen_van_Breen].....2025-09-22 09:54:12 UTC</t>
  </si>
  <si>
    <t>p. 233 Lucia Ixtacuy[https://wikirate.org/Lucia_Ixtacuy].....2025-07-21 18:46:38 UTC index: p. 233-240 however there are no page references so it does not meet the requirements of this criteria alongside disclosure: example p. 158 or 184 Laureen van Breen[https://wikirate.org/Laureen_van_Breen].....2025-09-21 20:49:01 UTC</t>
  </si>
  <si>
    <t>page 71 Luisa Valandro[https://wikirate.org/Luisa_Valandro].....2025-06-10 16:38:17 UTC P178-186 ESRS index Thomas Howie[https://wikirate.org/Thomas_Howie].....2025-09-02 18:50:06 UTC</t>
  </si>
  <si>
    <t>p. 105, 106 Lucia Ixtacuy[https://wikirate.org/Lucia_Ixtacuy].....2025-08-06 14:52:54 UTC They have several smaller indexes through out the report (also see p 87) Laureen van Breen[https://wikirate.org/Laureen_van_Breen].....2025-09-22 07:13:31 UTC</t>
  </si>
  <si>
    <t>Index on page 166-169. However the index does not include page numbers, only chapter references so that is not sufficient to meet the index criteria. Laureen van Breen[https://wikirate.org/Laureen_van_Breen].....2025-09-21 09:07:26 UTC Example of integrate indicator code alongside disclosure: page 143 (listed as page 90 in the document itself) Laureen van Breen[https://wikirate.org/Laureen_van_Breen].....2025-09-21 09:08:04 UTC</t>
  </si>
  <si>
    <t>P100 (p66 in PDF viewer) Thomas Howie[https://wikirate.org/Thomas_Howie].....2025-08-11 14:35:36 UTC p. 95-103 Index Laureen van Breen[https://wikirate.org/Laureen_van_Breen].....2025-09-21 09:51:57 UTC</t>
  </si>
  <si>
    <t>P137 (p18 in PDF viewer) The Index states the "Section in the Group Sustainability Statement" the disclosure can be found, no page numbers are given Thomas Howie[https://wikirate.org/Thomas_Howie].....2025-08-13 13:19:13 UTC Index is not specific enough, it would need to have page numbers. Laureen van Breen[https://wikirate.org/Laureen_van_Breen].....2025-09-22 08:12:43 UTC</t>
  </si>
  <si>
    <t>index pp. 224/226 alongside ex p. 130 Yohann[https://wikirate.org/Yohann].....2025-08-14 10:50:03 UTC "GOV-2 ‚Äì Information provided to and sustainability matters addressed by the undertaking‚Äôs administrative, management and supervisory bodies" Yohann[https://wikirate.org/Yohann].....2025-08-14 10:50:37 UTC Both criteria are indeed met. However, the GOV2 example is too highlevel for the 'alongside disclosure' criteria. A better example is E5-1 p.175 Laureen van Breen[https://wikirate.org/Laureen_van_Breen].....2025-09-21 19:39:48 UTC</t>
  </si>
  <si>
    <t>p225-233 Thomas Howie[https://wikirate.org/Thomas_Howie].....2025-08-19 12:01:17 UTC</t>
  </si>
  <si>
    <t>p29 and onward Thomas Howie[https://wikirate.org/Thomas_Howie].....2025-08-20 09:54:07 UTC</t>
  </si>
  <si>
    <t>p 409 - 421 ESRS index p 422 - 423 SASB index Thomas Howie[https://wikirate.org/Thomas_Howie].....2025-08-20 14:14:19 UTC The indexes however do not include page reference and the location reference are too general/high-level or even confusing to help the reader identify exactly where what information is disclosed. Laureen van Breen[https://wikirate.org/Laureen_van_Breen].....2025-09-21 12:35:58 UTC</t>
  </si>
  <si>
    <t>No sustainability data Aureliane[https://wikirate.org/Aureliane].....2025-08-28 11:05:13 UTC Update the research with their Sustainability report Index: p. 80-86 Example alongside disclosure: p. 60 Laureen van Breen[https://wikirate.org/Laureen_van_Breen].....2025-09-22 10:01:45 UTC</t>
  </si>
  <si>
    <t>p. 54 seems to indicate that the company has copyrighted the report although it does not really state clearly what the copyright pertains to. Laureen van Breen[https://wikirate.org/Laureen_van_Breen].....2025-09-21 11:48:18 UTC</t>
  </si>
  <si>
    <t>p229 and 300 (p110 and 111 in PDF viewer) gives links to all mentioned codes of conducts and policies Thomas Howie[https://wikirate.org/Thomas_Howie].....2025-08-13 12:50:29 UTC Although they do link to a policies page, the only policy of their own is a supplier code of conduct Thomas Howie[https://wikirate.org/Thomas_Howie].....2025-08-13 12:56:05 UTC It's a hard one to judge, they are signed up toseveral commitments and standards but they don't seem to have any own policies Thomas Howie[https://wikirate.org/Thomas_Howie].....2025-08-13 12:58:57 UTC p. 221: I found a link to their supplier Code of Conduct. But there is no link to their Human Rights Policy or Code of Conduct. Aureliane[https://wikirate.org/Aureliane].....2025-08-29 13:13:56 UTC There are a few links (e.g. p. 110 and 111) but these lead to landing pages from where a code of conduct and other documents can be downloaded. The links are therefore not specific enough for traceability and machine readability purposed. Laureen van Breen[https://w...</t>
  </si>
  <si>
    <t>p. 214 has a link to a landing page for the supplier code of conduct. But there is no evidence of a consistent practice and it being direct links to the supporting documentation. Laureen van Breen[https://wikirate.org/Laureen_van_Breen].....2025-09-21 10:17:17 UTC</t>
  </si>
  <si>
    <t>Examples: p. 10 supplier code of conduct p. 49 corporate sustainability policy, 2024 assurance statement, 2022 climate lobbying assessment report Laureen van Breen[https://wikirate.org/Laureen_van_Breen].....2025-09-21 11:30:33 UTC</t>
  </si>
  <si>
    <t>For example, a link to the "supplier code of conduct" appears as footnote only once Thomas Howie[https://wikirate.org/Thomas_Howie].....2025-08-20 10:19:07 UTC A few things are linked to from footnotes (e.g. page 90 remuneration report), but these do not constitute essential supporting documentation on sustainability practices like codes of conduct or policies. Laureen van Breen[https://wikirate.org/Laureen_van_Breen].....2025-09-21 12:22:53 UTC</t>
  </si>
  <si>
    <t>The is no mention of Verhaltenskodex, kodex, Menschenrechtsgrunds√§tze, Menschenrechtsrichtlinie, or even Menschenrechte, Nachhaltigkeitsleitlinien, etc. No links provided to other documents. Aureliane[https://wikirate.org/Aureliane].....2025-08-28 10:36:59 UTC Updated the research, looking at their sustainability statement. There are a few direct links to supporting documentation, though it not a very consistent approach. See p. 77 and 78 Laureen van Breen[https://wikirate.org/Laureen_van_Breen].....2025-09-22 09:48:46 UTC</t>
  </si>
  <si>
    <t>The documents are scattered across different pages of the website so not one archive or library... Laureen van Breen[https://wikirate.org/Laureen_van_Breen].....2025-09-21 20:29:52 UTC</t>
  </si>
  <si>
    <t>https://wikirate.org/~22335661</t>
  </si>
  <si>
    <t>They only seem to have one policy and I could not find their code of conduct online either... There is also a page with sustainability downloads but again this is not very comprehensive. Laureen van Breen[https://wikirate.org/Laureen_van_Breen].....2025-09-21 09:36:29 UTC</t>
  </si>
  <si>
    <t>https://wikirate.org/~22335789</t>
  </si>
  <si>
    <t>https://www.50hertz.com/Media/Medialibrary Yohann[https://wikirate.org/Yohann].....2025-08-19 09:34:48 UTC It is not clear if this is a comprehensive overview, but you can download both relevant policies and codes of conduct from this page. Laureen van Breen[https://wikirate.org/Laureen_van_Breen].....2025-09-21 13:07:03 UTC</t>
  </si>
  <si>
    <t>Although they do list a supplier code of conduct, a code of conduct for their own workforce is not included Thomas Howie[https://wikirate.org/Thomas_Howie].....2025-08-19 11:48:41 UTC There is also a Health and Safety policy on their sustainability page, but there indeed is not a page with an overview of all their policies and codes of conduct. Laureen van Breen[https://wikirate.org/Laureen_van_Breen].....2025-09-21 10:24:08 UTC</t>
  </si>
  <si>
    <t>https://wikirate.org/~22335734</t>
  </si>
  <si>
    <t>Only the Code of Conduct was listed within their website, all other documents were direct links to pdfs Thomas Howie[https://wikirate.org/Thomas_Howie].....2025-08-19 13:14:11 UTC The Disclosure Hub has a comprehensive overview of policies and codes of conduct. While not all of them are archived (in most cases only the latest version is available) for a number of sustainability disclosures, the company provides links to historic copies as well. Laureen van Breen[https://wikirate.org/Laureen_van_Breen].....2025-09-21 11:34:27 UTC</t>
  </si>
  <si>
    <t>P. 361 Lucia Ixtacuy[https://wikirate.org/Lucia_Ixtacuy].....2025-07-24 20:48:42 UTC "We have conducted a limited assurance engagement on the Consolidated Sustainability Statement of Bayer Aktiengesellschaft, Leverkusen/Germany, for the financial year from January 1 to December 31, 2024, included in section ‚ÄúSustainability Statement‚Äù of the combined management report on the parent and the group. " p. 361 Laureen van Breen[https://wikirate.org/Laureen_van_Breen].....2025-09-21 20:53:55 UTC</t>
  </si>
  <si>
    <t>p. 117 "Assurance report of the independent German Public Auditor on a limited assurance engagement in relation to the combined group non-financial declaration" Lucia Ixtacuy[https://wikirate.org/Lucia_Ixtacuy].....2025-08-08 16:29:27 UTC "We have conducted a limited assurance engagement on the combined group non-financial declaration, included in section ‚ÄúSustainability Statement‚Äù of the group management report, of Schaeffler AG, Herzogenaurach, for the financial year from Januar y 1, 2024 to December 31, 2024." p.170 (marked as 117p in doc) Laureen van Breen[https://wikirate.org/Laureen_van_Breen].....2025-09-21 09:13:19 UTC</t>
  </si>
  <si>
    <t>P68 - only Limited Assurance given to GHG Emissions Scope 1,2 and 3, see footnote. Other parts of Sustainability Report not given assurance Thomas Howie[https://wikirate.org/Thomas_Howie].....2025-08-11 14:03:39 UTC P185:"We have performed a limited assurance engagement on selected sustainability metrics in the sustainability report" - As assurance given to parts of the sustainability reports and not all, I selected no. Marc McGowan[https://wikirate.org/Marc_McGowan].....2025-08-27 08:40:30 UTC Agree - this is not considered assurance for their non-financial disclosure seeing it only covers a very small part of it. Laureen van Breen[https://wikirate.org/Laureen_van_Breen].....2025-09-22 08:25:55 UTC</t>
  </si>
  <si>
    <t>P50 (p16 in PDF viewer) "An independent auditor also reviews the content of the sustainability statement on a limited-assurance basis." Thomas Howie[https://wikirate.org/Thomas_Howie].....2025-08-11 14:40:25 UTC "We have conducted a limited assurance engagement on the group sustainability statement of Jungheinrich Aktiengesellschaft, Hamburg, (hereinafter the ‚ÄûCompany‚Äú) included in section ‚ÄúSustainability statement‚Äù of the group management report, which is combined with the Company‚Äôs management report, for the financial year from 1 January to 31 December 2024 (hereinafter the ‚ÄúGroup Sustainability Statement‚Äù)." p.218 Laureen van Breen[https://wikirate.org/Laureen_van_Breen].....2025-09-21 09:57:18 UTC</t>
  </si>
  <si>
    <t>"Assurance conclusion We have conducted a limited assurance engagement on the Group Sustainability Statement as included in section ‚ÄúSustainability Statement‚Äù of the combined management report, of EnBW Energie Baden-W√ºrttemberg AG, Karlsruhe, (hereinafter referred to as ‚Äúthe Company‚Äù) for the financial year from January 1, 2024 to December 31, 2024," p. 384 Yohann[https://wikirate.org/Yohann].....2025-08-14 10:59:16 UTC "Based on the particular engagement, we have conducted a reasonable assurance engagement on the disclosures in section ‚ÄúEU taxonomy‚Äù in the Group Sustainability Statement. A reasonable assurance engagement on these disclosures fulfils the requirements for a limited assurance engagement and, in accordance with Recital 60 to the CSRD, thereby complies with the requirements of the CSRD relating to assurance of the Group Sustainability Statement." p. 385 Laureen van Breen[https://wikirate.org/Laureen_van_Breen].....2025-09-21 19:45:33 UTC</t>
  </si>
  <si>
    <t>p. 219 "Other Information Management respectively supervisory board are responsible for the other information. The other information comprises the following components of the combined management report, whose content was not audited: ‚ñ™ the sustainability report, including the combined non-financial statement included in section V. of the combined management report, ‚ñ™ the combined corporate governance statement of the company and the group included in section VII. of the combined management report, and ‚ñ™ information extraneous to management reports and marked as unaudited." Lucia Ixtacuy[https://wikirate.org/Lucia_Ixtacuy].....2025-08-15 12:22:54 UTC Oddly.. p. 224: "We have conducted a limited assurance engagement on the Consolidated Sustainability Statement, included in section ‚ÄúV. Sustainability report‚Äù of the group management report, of HENSOLDT AG, Taufkirchen (hereinafter ‚ÄúCompany‚Äù or ‚ÄúHENSOLDT‚Äù), for the financial year from 1 January to 31 December 2024." Seeing these statements contradict one anothe...</t>
  </si>
  <si>
    <t>There is an archive of reports and presentations for investors, but the annual or sustainability reports are not include (only the current annual report). Laureen van Breen[https://wikirate.org/Laureen_van_Breen].....2025-09-21 09:24:35 UTC</t>
  </si>
  <si>
    <t>https://wikirate.org/~22335817</t>
  </si>
  <si>
    <t>No single archive on the company website Marc McGowan[https://wikirate.org/Marc_McGowan].....2025-08-14 14:12:34 UTC Found it under 'Reporting' Laureen van Breen[https://wikirate.org/Laureen_van_Breen].....2025-09-21 19:55:34 UTC</t>
  </si>
  <si>
    <t>https://wikirate.org/~22335690</t>
  </si>
  <si>
    <t>At the top of the annual report 2024 webpage there is a dropdown where you can go back to 2023 and 2022 reports as well. It is however not clear if they will keep adding years or if it's always just 2 years that you can go back. Laureen van Breen[https://wikirate.org/Laureen_van_Breen].....2025-09-21 10:13:18 UTC And on their sustainability page you can find all the previous susty reports. Laureen van Breen[https://wikirate.org/Laureen_van_Breen].....2025-09-21 10:20:38 UTC</t>
  </si>
  <si>
    <t>I was able to find an archive of annual reports, but these do not include their non-financial disclosures. Laureen van Breen[https://wikirate.org/Laureen_van_Breen].....2025-09-21 11:25:03 UTC</t>
  </si>
  <si>
    <t>I didn't manage to add the original (uncut) annual report (error with uploading sources). I suspect the misalignment might have something to do with the fact that the report used here was taken from the original report which is much longer. Aureliane[https://wikirate.org/Aureliane].....2025-08-29 13:37:25 UTC While indeed the page numbering is aligned for the full annual report, it is not for this standalone file. So for the sake of machine readability, page numbering would have to be updated if a separate file is created (even if its conceptually a subsection of a larger report) Laureen van Breen[https://wikirate.org/Laureen_van_Breen].....2025-09-22 08:06:58 UTC</t>
  </si>
  <si>
    <t>At the start of the document page numbering is aligned, but this changes later on (eg. p. 404 in the document is referred to as p. 368) Laureen van Breen[https://wikirate.org/Laureen_van_Breen].....2025-09-21 12:39:03 UTC</t>
  </si>
  <si>
    <t>Misaligned by 1 page Aureliane[https://wikirate.org/Aureliane].....2025-08-28 10:58:34 UTC Also they have double pages on one PDF viewer page Thomas Howie[https://wikirate.org/Thomas_Howie].....2025-09-02 19:07:04 UTC Updated the research, looking at their sustainability report for 2023 and 2024 Laureen van Breen[https://wikirate.org/Laureen_van_Breen].....2025-09-22 09:55:28 UTC</t>
  </si>
  <si>
    <t>CSRD (ESRS), Greenhouse Gas Protocol, Other</t>
  </si>
  <si>
    <t>P35 (P1 PDF viewer) "This sustainability statement is prepared on a consolidated basis for the Jungheinrich Group in full compliance with European Sustainability Reporting Standards (ESRS)." Sustainable Finance Directive, Three pillars reference, Benchmark regulation reference, EU Climate Act reference p100 (p66 in PDF Viewer) Thomas Howie[https://wikirate.org/Thomas_Howie].....2025-08-11 14:33:50 UTC "With respect to the implementation of the decarbonisation targets that have been set, Jungheinrich is guided by external standards and initiatives such as The Climate Pledge and the SBTi, and certifications such as DIN EN ISO 50001. All under-lying data are in line with international standards such as the Greenhouse Gas Protocol. " p. 54 "In addition, the CDP rating of B 1 in the previous year in the climate category was again confirmed for 2024(in a nine-step scale from A to F) for transparency and commitment to climate protection. ISS-ESG Corporate Rating again awarded Jungheinrich the sector-specific stat...</t>
  </si>
  <si>
    <t>"The consolidated financial statements of the LANXESS Group were prepared in accordance with the International Financial Reporting Standards (IFRS) as endorsed by the European Union(E.U.) and the corresponding interpretations, together with the additional requirements of Section 315e, Paragraph 1, of the German Commercial Code (HGB). According to the ESRS, the scope of consolidation can deviate from that of the financial reporting due to the operational control criterion. ... " p. 87 " Although the CSRD had not been implemented in national law in Germany by December 31, 2024, the LANXESS Group voluntarily and fully applied the ESRS as a framework for its Sustainability Report. " Lucia Ixtacuy[https://wikirate.org/Lucia_Ixtacuy].....2025-08-11 15:05:57 UTC IFRS is used but only for their financial disclosures Laureen van Breen[https://wikirate.org/Laureen_van_Breen].....2025-09-22 07:52:17 UTC</t>
  </si>
  <si>
    <t>CSRD (ESRS), CDP, Greenhouse Gas Protocol, Other</t>
  </si>
  <si>
    <t>P30 States GHG emissions calculated according to the Greenhouse Gas Protocol P147 ESRS index Marc McGowan[https://wikirate.org/Marc_McGowan].....2025-08-14 14:48:05 UTC "Scope 3 emissions arising upstream and downstream of our operations in the value chain are calculated in accordance with the Corporate Value Chain (Scope 3) Accounting and Reporting Standard published by the Greenhouse Gas Protocol and the WBCSD Guidance for Accounting and Reporting Corporate GHG Emissions in the Chemical Sector Value Chain (WBCSD Chemicals)." p. 199 Laureen van Breen[https://wikirate.org/Laureen_van_Breen].....2025-09-21 20:04:37 UTC "We report transparently and comprehensively on how we use water. For instance, in 2024, we again participated in the program established by the nonprofit organization CDP for reporting on data relevant to climate protection on the topic of water. BASF again achieved leadership status with an A- rating in the final assessment. CDP evaluates how transparently companies report on their water ma...</t>
  </si>
  <si>
    <t>ESRS p. 83 GRI and SASB p. 108 under section 2.8 1.3 IFRS p. 32 on the bottom right under "HELLA Gmbh &amp; Co. KGaA" but seems to apply only to financial report. GGP p. 32 under "non-financial performance indicators" Yohann[https://wikirate.org/Yohann].....2025-08-14 16:17:39 UTC GRI and SASB were only used for comparison with the ESRS for the selection of material topics in their DMA. Seeing that is very light touch (in comparison to actually using the standards to report data), I am removing those answer options. Laureen van Breen[https://wikirate.org/Laureen_van_Breen].....2025-09-22 06:27:26 UTC</t>
  </si>
  <si>
    <t>GRI Standards, CSRD (ESRS), CDP, Greenhouse Gas Protocol, Other</t>
  </si>
  <si>
    <t>P233: "ESRS Index" P254: "nonfinancial disclosures of Bayer AG are based on the GRI Standards" Marc McGowan[https://wikirate.org/Marc_McGowan].....2025-08-15 11:35:03 UTC p. 116 "We have reported for many years on our Scope 1, 2 and 3 greenhouse gas emissions according to the requirements of the Greenhouse Gas Protocol (GHG Protocol), and on the steps we have taken over the years to reduce our emissions. We therefore accounted for our experiences and findings in the double materiality assessment." Laureen van Breen[https://wikirate.org/Laureen_van_Breen].....2025-09-21 20:42:35 UTC p. 131 "In developing the Transition and Transformation Plan, we utilized the standards of the Transition Plan Taskforce and CDP. " Laureen van Breen[https://wikirate.org/Laureen_van_Breen].....2025-09-21 20:44:25 UTC</t>
  </si>
  <si>
    <t>CSRD (ESRS), CDP, Greenhouse Gas Protocol</t>
  </si>
  <si>
    <t>p111 (p112 in pdf viewer) "Alignment in accordance with CSR - RUG with voluntary application of ESRS This Group sustainability report was prepared in accordance with the applicable legal requirements of CSR - RUG. The concept of double materiality analysis in accordance with ESRS means that the understanding of materiality according to GAS 20 is significantly expanded upon for the Group non-financial statement. Based on the KION Group's material topics, the five matters outlined in CSR - RUG have already been covered as follows in accordance with ESRS and expanded for individual requirements of CSR- RUG." Thomas Howie[https://wikirate.org/Thomas_Howie].....2025-08-19 12:00:03 UTC "The KION Group calculates and controls its GHG emissions based on the international Greenhouse Gas Protocol (GHG Protocol). " p. 151 "To ensure the highest level of transparency and comparability, the KION Group uses the widely adopted international disclosure and scoring platform CDP in order to publicly communicate its GHG mana...</t>
  </si>
  <si>
    <t>SASB, CSRD (ESRS)</t>
  </si>
  <si>
    <t>The annual report does not contain any sustainability data. Aureliane[https://wikirate.org/Aureliane].....2025-08-28 11:04:43 UTC page 35 "Im Jahr 2024 f√ºhrte der Th√ºga Holding-Konzern erstmals eine Wesentlichkeitsanalyse gem√§√ü den Anforderungen der CSRD und ESRS durch."" "Ein Thema gilt als wesentlich, wenn es aus einer oder beiden Perspektiven eine signifikante Relevanz aufweist. Die Analyse basierte auf einer umfassenden Sammlung potenziell relevanter Nachhaltigkeitsthemen. Dabei wurden unter anderem folgende Quellen ber√ºcksichtigt: ‚Ä¢ ESRS (sektor√ºbergreifend) ‚Ä¢ SASB-Standards (als Orientierung f√ºr sektorspezifische Anforderungen) ‚Ä¢ GRI-Wesentlichkeitsanalyse 2023 ‚Ä¢ Global Risk Report 2023 des World Economic Forum" While they also referenced SASB for their materiality assessment, it is not clear if this standard really impacted how they reported data. Laureen van Breen[https://wikirate.org/Laureen_van_Breen].....2025-09-22 09:59:21 UTC</t>
  </si>
  <si>
    <t>p. 54 seems to indicate the company has copyrighted the report (which would mean any type of reuse would not be allowed). It is however not very clear what the copyright pertains to (whole report, the data in the report, or for instance just the logo displayed on that page). Laureen van Breen[https://wikirate.org/Laureen_van_Breen].....2025-09-21 11:50:06 UTC</t>
  </si>
  <si>
    <t>p. 21-22 "In 2024, we prepared in parallel a double materiality assessment in preparation for the Corporate Sustainability Reporting Directive (CSRD; Directive (EU) 2022/2464) and the related European Sustainability Reporting Standards (ESRS) in order to define the scope of sustainability reporting based on material sustainability topics to be disclosed as part of the CSRD Sustainability Statement beginning in fiscal 2025. ...." Lucia Ixtacuy[https://wikirate.org/Lucia_Ixtacuy].....2025-08-07 13:20:34 UTC The company conducted the double materiality assessment, but it is not clear how they used it to report in FY 2024. The material topics they mention seem to apply to GRI, which has a different definition of materiality. Aureliane[https://wikirate.org/Aureliane].....2025-08-29 12:25:03 UTC While they did not yet fully use the ESRS's double materiality assessment methodology, they did conduct a double materiality assessment seeing they assessed both the inside out and outside in perspectives. see page 21 an...</t>
  </si>
  <si>
    <t>p. 44 "The Schaeffler Group‚Äôs impacts, risks, and opportunities (IROs) with respect to environment, social, and governance (ESG) topics were considered in a double materiality assessment in accordance with ESRS. This assessment covered the company‚Äôs own operations and upstream and downstream value chain. This sustainability statement sets out the IROs identified as material and the related policies, actions, and, where applicable, targets and metrics. " Lucia Ixtacuy[https://wikirate.org/Lucia_Ixtacuy].....2025-08-11 14:31:45 UTC This evidence can be found on page 97 (according to the pdf viewer tool) Laureen van Breen[https://wikirate.org/Laureen_van_Breen].....2025-09-21 09:09:59 UTC</t>
  </si>
  <si>
    <t>P167 Double materiality assessment Marc McGowan[https://wikirate.org/Marc_McGowan].....2025-08-14 14:53:08 UTC "We carried out a double materiality assessment in accordance with the ESRSs for the first time in 2024. The assessment was performed on the basis of previous double materiality assessments, but with an increased level of granularity and more extensive documentation." p. 167 Laureen van Breen[https://wikirate.org/Laureen_van_Breen].....2025-09-21 20:09:56 UTC</t>
  </si>
  <si>
    <t>Updated research based on sustainability report: P. 35 "Im Jahr 2024 f√ºhrte der Th√ºga Holding-Konzern erstmals eine Wesentlichkeitsanalyse gem√§√ü den Anforderungen der CSRD und ESRS durch. Zentrales Prinzip dieser Analyse ist das Konzept der doppelten Wesentlichkeit, das zwei Perspektiven miteinander verkn√ºpft: ‚Ä¢ Impact-Materialit√§t (Inside-Out): Welche Auswirkungen hat die Gesch√§ftst√§tigkeit des Unternehmens auf Umwelt und Gesellschaft? ‚Ä¢ Finanzielle Materialit√§t (Outside-In): Welche Auswirkungen haben Nachhaltigkeitsthemen auf den Gesch√§ftsverlauf, die Finanzlage und die Zukunftsf√§higkeit des Unternehmens? Ein Thema gilt als wesentlich, wenn es aus einer oder beiden Perspektiven eine signifikante Relevanz aufweist. Die Analyse basierte auf einer umfassenden Sammlung potenziell relevanter Nachhaltigkeitsthemen. Dabei wurden unter anderem folgende Quellen ber√ºcksichtigt: ‚Ä¢ ESRS (sektor√ºbergreifend) ‚Ä¢ SASB-Standards (als Orientierung f√ºr sektorspezifische Anforderungen) ‚Ä¢ GRI-Wesentlichkeitsanalyse 2023 ‚Ä¢ Gl...</t>
  </si>
  <si>
    <t>P202: outlines expenditures on political activities and industry associations Marc McGowan[https://wikirate.org/Marc_McGowan].....2025-08-11 07:57:29 UTC Given the high-level framing of the metric, let's consider this criteria met. However it should be noted that on p. 231 the company lists ESRS G1-5 G1-5 - Political influence and lobbying activities as 'non-material'. Laureen van Breen[https://wikirate.org/Laureen_van_Breen].....2025-09-22 06:37:24 UTC</t>
  </si>
  <si>
    <t>p. 100 G1-5 (political influence and lobbying activities) is claimed to be not material... Laureen van Breen[https://wikirate.org/Laureen_van_Breen].....2025-09-21 09:54:59 UTC</t>
  </si>
  <si>
    <t>P166 states it does not contribute to any political party, however does not disclose a budget for any other lobbying activities Marc McGowan[https://wikirate.org/Marc_McGowan].....2025-08-14 15:06:39 UTC "BASF does not financially support political parties, for example, through donations in cash or in kind. This is codified in global requirements." p. 166 Laureen van Breen[https://wikirate.org/Laureen_van_Breen].....2025-09-21 20:11:38 UTC</t>
  </si>
  <si>
    <t>p. 28 does include a lobbying reference and points to where on the website more information can be found. But no total budget is disclosed. Laureen van Breen[https://wikirate.org/Laureen_van_Breen].....2025-09-21 12:04:56 UTC</t>
  </si>
  <si>
    <t>Preliminary Score (out of 10):</t>
  </si>
  <si>
    <t>Preliminary Score  (out of 10):</t>
  </si>
  <si>
    <t>Schaeffler Technologies</t>
  </si>
  <si>
    <t xml:space="preserve">Sector </t>
  </si>
  <si>
    <t>Score</t>
  </si>
  <si>
    <t>Full sample</t>
  </si>
  <si>
    <t>Automotive</t>
  </si>
  <si>
    <t>Hella GmbH &amp; Co. KGaA</t>
  </si>
  <si>
    <t>Mechanical engineering</t>
  </si>
  <si>
    <t>Chemical</t>
  </si>
  <si>
    <t>Electrical</t>
  </si>
  <si>
    <t>Military and defense</t>
  </si>
  <si>
    <t>Sector</t>
  </si>
  <si>
    <t>Average</t>
  </si>
  <si>
    <t>Accessibility of non-financial reports</t>
  </si>
  <si>
    <t>Accessibility of referenced documents</t>
  </si>
  <si>
    <t>Standardization and metadata</t>
  </si>
  <si>
    <t>Content license</t>
  </si>
  <si>
    <t>Thematic scores</t>
  </si>
  <si>
    <t>Average Thematic Scores</t>
  </si>
  <si>
    <t>Average Sector Scores</t>
  </si>
  <si>
    <t>Lobby budget</t>
  </si>
  <si>
    <t>Supplier audit</t>
  </si>
  <si>
    <t>Disclosed lobby budget</t>
  </si>
  <si>
    <t>Did supplier audits</t>
  </si>
  <si>
    <t>Have done assurance</t>
  </si>
  <si>
    <t>Did double materiality assessment</t>
  </si>
  <si>
    <t>Report discoverability</t>
  </si>
  <si>
    <t>Report format</t>
  </si>
  <si>
    <t>DMA</t>
  </si>
  <si>
    <t>Assurance</t>
  </si>
  <si>
    <t xml:space="preserve">Direct links </t>
  </si>
  <si>
    <t>Reports archive</t>
  </si>
  <si>
    <t>Supporting documentation archive</t>
  </si>
  <si>
    <t>Reporting period specified</t>
  </si>
  <si>
    <t>Reporting standards</t>
  </si>
  <si>
    <t>Indicator codes</t>
  </si>
  <si>
    <t>Page numbering</t>
  </si>
  <si>
    <t>Reporting period</t>
  </si>
  <si>
    <t>Entity IDs</t>
  </si>
  <si>
    <t>Data license explicit</t>
  </si>
  <si>
    <t>Data license type</t>
  </si>
  <si>
    <t>Accessiblity of non-financial reports</t>
  </si>
  <si>
    <t>Preview metrics</t>
  </si>
  <si>
    <t xml:space="preserve">Preview metrics </t>
  </si>
  <si>
    <t>Total number of companies</t>
  </si>
  <si>
    <t>Published in central database</t>
  </si>
  <si>
    <t>Direct links</t>
  </si>
  <si>
    <t>Archive</t>
  </si>
  <si>
    <t>Library</t>
  </si>
  <si>
    <t>PDF &amp; Spreadsheet</t>
  </si>
  <si>
    <t>Page numbering aligned</t>
  </si>
  <si>
    <t xml:space="preserve">Closed </t>
  </si>
  <si>
    <t>Disclosed entity IDs</t>
  </si>
  <si>
    <t>Explicit</t>
  </si>
  <si>
    <t xml:space="preserve">Mechanical Enginering </t>
  </si>
  <si>
    <t xml:space="preserve">Chemical </t>
  </si>
  <si>
    <t>Used a reporting standard</t>
  </si>
  <si>
    <t>Integrated indicator codes</t>
  </si>
  <si>
    <t>Codes alongside disclosure</t>
  </si>
  <si>
    <t>IFRS (S1 and S2)</t>
  </si>
  <si>
    <t>SASB</t>
  </si>
  <si>
    <t>ESRS (CSRD)</t>
  </si>
  <si>
    <t>CDP</t>
  </si>
  <si>
    <t>CDSB</t>
  </si>
  <si>
    <t>National Standards</t>
  </si>
  <si>
    <t>Other</t>
  </si>
  <si>
    <t>All</t>
  </si>
  <si>
    <t>iXBRL</t>
  </si>
  <si>
    <t xml:space="preserve">Average </t>
  </si>
  <si>
    <t>Average - total</t>
  </si>
  <si>
    <t>Average - Automotive</t>
  </si>
  <si>
    <t>Average - Mechanical engineering</t>
  </si>
  <si>
    <t>Average - Chemical</t>
  </si>
  <si>
    <t>Average - Electrical</t>
  </si>
  <si>
    <t>Average - Military &amp; defense</t>
  </si>
  <si>
    <t>On request</t>
  </si>
  <si>
    <t>Central database</t>
  </si>
  <si>
    <t>GRI Standards, CSRD (ESRS), Greenhouse Gas Protocol</t>
  </si>
  <si>
    <t>GRI Standards, SASB, CSRD (ESRS), Greenhouse Gas Protocol, National standards, Other</t>
  </si>
  <si>
    <t>GRI Standards, CDP</t>
  </si>
  <si>
    <t>GRI Standards, SASB, CSRD (ESRS), Greenhouse Gas Protocol</t>
  </si>
  <si>
    <t>GRI Standards, SASB, Greenhouse Gas Protocol, Other</t>
  </si>
  <si>
    <t>GRI Standards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</si>
</sst>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font>
      <sz val="12"/>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sz val="12"/>
      <color rgb="FF000000"/>
      <name val="Aptos Narrow"/>
      <family val="2"/>
      <scheme val="minor"/>
    </font>
    <font>
      <b/>
      <sz val="12"/>
      <color theme="1"/>
      <name val="Aptos Narrow"/>
      <scheme val="minor"/>
    </font>
    <font>
      <b/>
      <sz val="16"/>
      <color theme="1"/>
      <name val="Aptos Narrow"/>
      <scheme val="minor"/>
    </font>
    <font>
      <sz val="16"/>
      <color theme="1"/>
      <name val="Aptos Narrow"/>
      <scheme val="minor"/>
    </font>
    <font>
      <b/>
      <sz val="11"/>
      <color theme="1"/>
      <name val="Aptos Narrow"/>
      <scheme val="minor"/>
    </font>
    <font>
      <sz val="11"/>
      <color theme="1"/>
      <name val="Aptos Narrow"/>
      <scheme val="minor"/>
    </font>
    <font>
      <sz val="11"/>
      <color rgb="FF000000"/>
      <name val="Aptos Narrow"/>
      <scheme val="minor"/>
    </font>
    <font>
      <b/>
      <sz val="11"/>
      <color rgb="FF000000"/>
      <name val="Aptos Narrow"/>
      <scheme val="minor"/>
    </font>
    <font>
      <sz val="10"/>
      <color rgb="FF0A53A8"/>
      <name val="Arial"/>
      <family val="2"/>
    </font>
    <font>
      <sz val="10"/>
      <color theme="1"/>
      <name val="Arial"/>
      <family val="2"/>
    </font>
    <font>
      <sz val="10"/>
      <color rgb="FF11734B"/>
      <name val="Arial"/>
      <family val="2"/>
    </font>
    <font>
      <sz val="10"/>
      <color rgb="FFB10202"/>
      <name val="Arial"/>
      <family val="2"/>
    </font>
    <font>
      <sz val="10"/>
      <color rgb="FF473821"/>
      <name val="Arial"/>
      <family val="2"/>
    </font>
    <font>
      <sz val="10"/>
      <color rgb="FF5A3286"/>
      <name val="Arial"/>
      <family val="2"/>
    </font>
    <font>
      <sz val="12"/>
      <color theme="1"/>
      <name val="Aptos Narrow"/>
      <scheme val="minor"/>
    </font>
    <font>
      <b/>
      <sz val="12"/>
      <name val="Aptos Narrow"/>
      <scheme val="minor"/>
    </font>
    <font>
      <b/>
      <sz val="12"/>
      <color rgb="FF000000"/>
      <name val="Aptos Narrow"/>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108">
    <xf numFmtId="0" fontId="0" fillId="0" borderId="0" xfId="0"/>
    <xf numFmtId="0" fontId="18" fillId="0" borderId="0" xfId="0" applyFont="1"/>
    <xf numFmtId="0" fontId="19" fillId="0" borderId="0" xfId="0" applyFont="1"/>
    <xf numFmtId="0" fontId="18" fillId="33" borderId="0" xfId="0" applyFont="1" applyFill="1"/>
    <xf numFmtId="0" fontId="0" fillId="0" borderId="0" xfId="0" applyAlignment="1">
      <alignment vertical="center" wrapText="1"/>
    </xf>
    <xf numFmtId="0" fontId="0" fillId="0" borderId="0" xfId="0" applyAlignment="1">
      <alignment vertical="center"/>
    </xf>
    <xf numFmtId="0" fontId="20" fillId="35" borderId="0" xfId="0" applyFont="1" applyFill="1" applyAlignment="1">
      <alignment vertical="center"/>
    </xf>
    <xf numFmtId="0" fontId="21" fillId="0" borderId="0" xfId="0" applyFont="1" applyAlignment="1">
      <alignment vertical="center" wrapText="1"/>
    </xf>
    <xf numFmtId="0" fontId="20" fillId="35" borderId="0" xfId="0" applyFont="1" applyFill="1" applyAlignment="1">
      <alignment vertical="center" wrapText="1"/>
    </xf>
    <xf numFmtId="0" fontId="22" fillId="34" borderId="0" xfId="0" applyFont="1" applyFill="1" applyAlignment="1">
      <alignment vertical="center"/>
    </xf>
    <xf numFmtId="0" fontId="22" fillId="34" borderId="0" xfId="0" applyFont="1" applyFill="1" applyAlignment="1">
      <alignment vertical="center" wrapText="1"/>
    </xf>
    <xf numFmtId="0" fontId="22" fillId="33" borderId="0" xfId="0" applyFont="1" applyFill="1" applyAlignment="1">
      <alignment vertical="center"/>
    </xf>
    <xf numFmtId="0" fontId="23" fillId="0" borderId="0" xfId="0" applyFont="1" applyAlignment="1">
      <alignment vertical="center"/>
    </xf>
    <xf numFmtId="0" fontId="24" fillId="0" borderId="0" xfId="0" applyFont="1" applyAlignment="1">
      <alignment vertical="center"/>
    </xf>
    <xf numFmtId="0" fontId="23" fillId="0" borderId="0" xfId="0" applyFont="1" applyAlignment="1">
      <alignment vertical="center" wrapText="1"/>
    </xf>
    <xf numFmtId="0" fontId="25" fillId="36" borderId="0" xfId="0" applyFont="1" applyFill="1" applyAlignment="1">
      <alignment vertical="center"/>
    </xf>
    <xf numFmtId="0" fontId="23" fillId="36" borderId="0" xfId="0" applyFont="1" applyFill="1" applyAlignment="1">
      <alignment vertical="center" wrapText="1"/>
    </xf>
    <xf numFmtId="0" fontId="23" fillId="36" borderId="0" xfId="0" applyFont="1" applyFill="1" applyAlignment="1">
      <alignment vertical="center"/>
    </xf>
    <xf numFmtId="2" fontId="21" fillId="0" borderId="0" xfId="0" applyNumberFormat="1" applyFont="1" applyAlignment="1">
      <alignment horizontal="left" vertical="center" wrapText="1"/>
    </xf>
    <xf numFmtId="0" fontId="0" fillId="33" borderId="0" xfId="0" applyFill="1"/>
    <xf numFmtId="0" fontId="22" fillId="33" borderId="0" xfId="0" applyFont="1" applyFill="1" applyAlignment="1">
      <alignment vertical="center" wrapText="1"/>
    </xf>
    <xf numFmtId="0" fontId="24" fillId="0" borderId="0" xfId="0" applyFont="1" applyAlignment="1">
      <alignment vertical="center" wrapText="1"/>
    </xf>
    <xf numFmtId="0" fontId="25" fillId="36" borderId="0" xfId="0" applyFont="1" applyFill="1" applyAlignment="1">
      <alignment vertical="center" wrapText="1"/>
    </xf>
    <xf numFmtId="0" fontId="19" fillId="37" borderId="0" xfId="0" applyFont="1" applyFill="1"/>
    <xf numFmtId="2" fontId="0" fillId="0" borderId="0" xfId="0" applyNumberFormat="1"/>
    <xf numFmtId="0" fontId="26" fillId="0" borderId="0" xfId="0" applyFont="1"/>
    <xf numFmtId="0" fontId="27" fillId="0" borderId="0" xfId="0" applyFont="1"/>
    <xf numFmtId="0" fontId="28" fillId="0" borderId="0" xfId="0" applyFont="1"/>
    <xf numFmtId="0" fontId="30" fillId="0" borderId="0" xfId="0" applyFont="1"/>
    <xf numFmtId="0" fontId="31" fillId="0" borderId="0" xfId="0" applyFont="1"/>
    <xf numFmtId="0" fontId="29" fillId="0" borderId="0" xfId="0" applyFont="1"/>
    <xf numFmtId="0" fontId="27" fillId="36" borderId="0" xfId="0" applyFont="1" applyFill="1"/>
    <xf numFmtId="2" fontId="0" fillId="36" borderId="0" xfId="0" applyNumberFormat="1" applyFill="1"/>
    <xf numFmtId="0" fontId="19" fillId="36" borderId="0" xfId="0" applyFont="1" applyFill="1"/>
    <xf numFmtId="0" fontId="0" fillId="36" borderId="0" xfId="0" applyFill="1"/>
    <xf numFmtId="0" fontId="19" fillId="38" borderId="0" xfId="0" applyFont="1" applyFill="1"/>
    <xf numFmtId="0" fontId="18" fillId="36" borderId="0" xfId="0" applyFont="1" applyFill="1"/>
    <xf numFmtId="2" fontId="0" fillId="0" borderId="0" xfId="0" applyNumberFormat="1" applyAlignment="1">
      <alignment wrapText="1"/>
    </xf>
    <xf numFmtId="0" fontId="32" fillId="0" borderId="0" xfId="0" applyFont="1"/>
    <xf numFmtId="0" fontId="33" fillId="34" borderId="0" xfId="0" applyFont="1" applyFill="1" applyAlignment="1">
      <alignment vertical="center"/>
    </xf>
    <xf numFmtId="2" fontId="0" fillId="0" borderId="0" xfId="0" applyNumberFormat="1" applyAlignment="1">
      <alignment horizontal="left" vertical="center" wrapText="1"/>
    </xf>
    <xf numFmtId="2" fontId="32" fillId="0" borderId="0" xfId="0" applyNumberFormat="1" applyFont="1"/>
    <xf numFmtId="0" fontId="0" fillId="0" borderId="0" xfId="0" applyAlignment="1">
      <alignment horizontal="left"/>
    </xf>
    <xf numFmtId="0" fontId="34" fillId="37" borderId="0" xfId="0" applyFont="1" applyFill="1"/>
    <xf numFmtId="2" fontId="0" fillId="0" borderId="10" xfId="0" applyNumberFormat="1" applyBorder="1"/>
    <xf numFmtId="0" fontId="0" fillId="0" borderId="10" xfId="0" applyBorder="1"/>
    <xf numFmtId="2" fontId="0" fillId="0" borderId="11" xfId="0" applyNumberFormat="1" applyBorder="1"/>
    <xf numFmtId="9" fontId="0" fillId="0" borderId="11" xfId="42" applyFont="1" applyFill="1" applyBorder="1"/>
    <xf numFmtId="0" fontId="0" fillId="0" borderId="11" xfId="0" applyBorder="1"/>
    <xf numFmtId="0" fontId="0" fillId="0" borderId="0" xfId="0" applyAlignment="1">
      <alignment wrapText="1"/>
    </xf>
    <xf numFmtId="0" fontId="19" fillId="0" borderId="0" xfId="0" applyFont="1" applyAlignment="1">
      <alignment wrapText="1"/>
    </xf>
    <xf numFmtId="2" fontId="19" fillId="0" borderId="11" xfId="0" applyNumberFormat="1" applyFont="1" applyBorder="1"/>
    <xf numFmtId="0" fontId="19" fillId="37" borderId="10" xfId="0" applyFont="1" applyFill="1" applyBorder="1"/>
    <xf numFmtId="2" fontId="19" fillId="37" borderId="12" xfId="0" applyNumberFormat="1" applyFont="1" applyFill="1" applyBorder="1"/>
    <xf numFmtId="2" fontId="0" fillId="0" borderId="12" xfId="0" applyNumberFormat="1" applyBorder="1"/>
    <xf numFmtId="0" fontId="34" fillId="37" borderId="12" xfId="0" applyFont="1" applyFill="1" applyBorder="1"/>
    <xf numFmtId="0" fontId="18" fillId="0" borderId="12" xfId="0" applyFont="1" applyBorder="1"/>
    <xf numFmtId="2" fontId="19" fillId="37" borderId="10" xfId="0" applyNumberFormat="1" applyFont="1" applyFill="1" applyBorder="1"/>
    <xf numFmtId="2" fontId="19" fillId="37" borderId="0" xfId="0" applyNumberFormat="1" applyFont="1" applyFill="1" applyAlignment="1">
      <alignment wrapText="1"/>
    </xf>
    <xf numFmtId="0" fontId="19" fillId="37" borderId="12" xfId="0" applyFont="1" applyFill="1" applyBorder="1"/>
    <xf numFmtId="0" fontId="0" fillId="0" borderId="12" xfId="0" applyBorder="1"/>
    <xf numFmtId="0" fontId="19" fillId="0" borderId="0" xfId="0" applyFont="1" applyAlignment="1">
      <alignment horizontal="center"/>
    </xf>
    <xf numFmtId="2" fontId="19" fillId="0" borderId="0" xfId="0" applyNumberFormat="1" applyFont="1"/>
    <xf numFmtId="0" fontId="34" fillId="0" borderId="0" xfId="0" applyFont="1"/>
    <xf numFmtId="2" fontId="19" fillId="0" borderId="11" xfId="0" applyNumberFormat="1" applyFont="1" applyBorder="1" applyAlignment="1">
      <alignment horizontal="center"/>
    </xf>
    <xf numFmtId="0" fontId="19" fillId="0" borderId="11" xfId="0" applyFont="1" applyBorder="1"/>
    <xf numFmtId="0" fontId="32" fillId="34" borderId="0" xfId="0" applyFont="1" applyFill="1"/>
    <xf numFmtId="2" fontId="0" fillId="0" borderId="0" xfId="0" applyNumberFormat="1" applyAlignment="1">
      <alignment horizontal="left"/>
    </xf>
    <xf numFmtId="0" fontId="19" fillId="37" borderId="0" xfId="0" applyFont="1" applyFill="1" applyAlignment="1">
      <alignment horizontal="left"/>
    </xf>
    <xf numFmtId="0" fontId="19" fillId="0" borderId="0" xfId="0" applyFont="1" applyAlignment="1">
      <alignment horizontal="right"/>
    </xf>
    <xf numFmtId="0" fontId="0" fillId="34" borderId="0" xfId="0" applyFill="1" applyAlignment="1">
      <alignment horizontal="right"/>
    </xf>
    <xf numFmtId="0" fontId="0" fillId="0" borderId="0" xfId="0" applyAlignment="1">
      <alignment horizontal="right"/>
    </xf>
    <xf numFmtId="1" fontId="32" fillId="0" borderId="0" xfId="0" applyNumberFormat="1" applyFont="1" applyAlignment="1">
      <alignment horizontal="right"/>
    </xf>
    <xf numFmtId="1" fontId="32" fillId="34" borderId="0" xfId="0" applyNumberFormat="1" applyFont="1" applyFill="1" applyAlignment="1">
      <alignment horizontal="right"/>
    </xf>
    <xf numFmtId="1" fontId="0" fillId="0" borderId="0" xfId="0" applyNumberFormat="1" applyAlignment="1">
      <alignment horizontal="right"/>
    </xf>
    <xf numFmtId="9" fontId="32" fillId="0" borderId="0" xfId="42" applyFont="1" applyAlignment="1">
      <alignment horizontal="right"/>
    </xf>
    <xf numFmtId="9" fontId="32" fillId="34" borderId="0" xfId="42" applyFont="1" applyFill="1" applyAlignment="1">
      <alignment horizontal="right"/>
    </xf>
    <xf numFmtId="9" fontId="0" fillId="0" borderId="0" xfId="42" applyFont="1" applyFill="1" applyAlignment="1">
      <alignment horizontal="right"/>
    </xf>
    <xf numFmtId="0" fontId="32" fillId="34" borderId="0" xfId="0" applyFont="1" applyFill="1" applyAlignment="1">
      <alignment wrapText="1"/>
    </xf>
    <xf numFmtId="0" fontId="0" fillId="34" borderId="0" xfId="0" applyFill="1" applyAlignment="1">
      <alignment horizontal="right" wrapText="1"/>
    </xf>
    <xf numFmtId="0" fontId="0" fillId="34" borderId="0" xfId="0" applyFill="1" applyAlignment="1">
      <alignment horizontal="left" wrapText="1"/>
    </xf>
    <xf numFmtId="0" fontId="0" fillId="0" borderId="10" xfId="0" applyBorder="1" applyAlignment="1">
      <alignment horizontal="right"/>
    </xf>
    <xf numFmtId="0" fontId="0" fillId="36" borderId="10" xfId="0" applyFill="1" applyBorder="1"/>
    <xf numFmtId="1" fontId="0" fillId="0" borderId="10" xfId="0" applyNumberFormat="1" applyBorder="1" applyAlignment="1">
      <alignment horizontal="right"/>
    </xf>
    <xf numFmtId="0" fontId="19" fillId="36" borderId="10" xfId="0" applyFont="1" applyFill="1" applyBorder="1" applyAlignment="1">
      <alignment vertical="center" wrapText="1"/>
    </xf>
    <xf numFmtId="0" fontId="19" fillId="36" borderId="11" xfId="0" applyFont="1" applyFill="1" applyBorder="1" applyAlignment="1">
      <alignment vertical="center" wrapText="1"/>
    </xf>
    <xf numFmtId="0" fontId="0" fillId="0" borderId="11" xfId="0" applyBorder="1" applyAlignment="1">
      <alignment horizontal="right"/>
    </xf>
    <xf numFmtId="1" fontId="0" fillId="0" borderId="11" xfId="0" applyNumberFormat="1" applyBorder="1" applyAlignment="1">
      <alignment horizontal="right"/>
    </xf>
    <xf numFmtId="1" fontId="18" fillId="0" borderId="0" xfId="0" applyNumberFormat="1" applyFont="1"/>
    <xf numFmtId="1" fontId="32" fillId="0" borderId="10" xfId="0" applyNumberFormat="1" applyFont="1" applyBorder="1" applyAlignment="1">
      <alignment horizontal="right"/>
    </xf>
    <xf numFmtId="0" fontId="0" fillId="36" borderId="11" xfId="0" applyFill="1" applyBorder="1" applyAlignment="1">
      <alignment horizontal="right"/>
    </xf>
    <xf numFmtId="1" fontId="32" fillId="0" borderId="11" xfId="0" applyNumberFormat="1" applyFont="1" applyBorder="1" applyAlignment="1">
      <alignment horizontal="right"/>
    </xf>
    <xf numFmtId="0" fontId="19" fillId="36" borderId="0" xfId="0" applyFont="1" applyFill="1" applyAlignment="1">
      <alignment vertical="center" wrapText="1"/>
    </xf>
    <xf numFmtId="0" fontId="18" fillId="36" borderId="0" xfId="0" applyFont="1" applyFill="1" applyAlignment="1">
      <alignment horizontal="right"/>
    </xf>
    <xf numFmtId="0" fontId="18" fillId="0" borderId="0" xfId="0" applyFont="1" applyAlignment="1">
      <alignment horizontal="right"/>
    </xf>
    <xf numFmtId="1" fontId="0" fillId="0" borderId="0" xfId="0" applyNumberFormat="1"/>
    <xf numFmtId="0" fontId="19" fillId="34" borderId="0" xfId="0" applyFont="1" applyFill="1" applyAlignment="1">
      <alignment vertical="center" wrapText="1"/>
    </xf>
    <xf numFmtId="9" fontId="0" fillId="0" borderId="0" xfId="42" applyFont="1"/>
    <xf numFmtId="164" fontId="0" fillId="0" borderId="0" xfId="0" applyNumberFormat="1"/>
    <xf numFmtId="164" fontId="0" fillId="36" borderId="0" xfId="0" applyNumberFormat="1" applyFill="1"/>
    <xf numFmtId="0" fontId="19" fillId="34" borderId="0" xfId="0" applyFont="1" applyFill="1" applyAlignment="1">
      <alignment horizontal="center"/>
    </xf>
    <xf numFmtId="0" fontId="19" fillId="34" borderId="0" xfId="0" applyFont="1" applyFill="1" applyAlignment="1">
      <alignment horizontal="center" vertical="center" wrapText="1"/>
    </xf>
    <xf numFmtId="0" fontId="19" fillId="34" borderId="12" xfId="0" applyFont="1" applyFill="1" applyBorder="1" applyAlignment="1">
      <alignment horizontal="center" vertical="center" wrapText="1"/>
    </xf>
    <xf numFmtId="0" fontId="19" fillId="34" borderId="10" xfId="0" applyFont="1" applyFill="1" applyBorder="1" applyAlignment="1">
      <alignment horizontal="center"/>
    </xf>
    <xf numFmtId="0" fontId="19" fillId="34" borderId="12" xfId="0" applyFont="1" applyFill="1" applyBorder="1" applyAlignment="1">
      <alignment horizontal="center"/>
    </xf>
    <xf numFmtId="2" fontId="19" fillId="34" borderId="10" xfId="0" applyNumberFormat="1" applyFont="1" applyFill="1" applyBorder="1" applyAlignment="1">
      <alignment horizontal="center"/>
    </xf>
    <xf numFmtId="2" fontId="19" fillId="34" borderId="0" xfId="0" applyNumberFormat="1" applyFont="1" applyFill="1" applyAlignment="1">
      <alignment horizontal="center"/>
    </xf>
    <xf numFmtId="2" fontId="19" fillId="34" borderId="12" xfId="0" applyNumberFormat="1"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41">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persons/person.xml><?xml version="1.0" encoding="utf-8"?>
<personList xmlns="http://schemas.microsoft.com/office/spreadsheetml/2018/threadedcomments" xmlns:x="http://schemas.openxmlformats.org/spreadsheetml/2006/main">
  <person displayName="Laureen van Breen" id="{8A1D411C-871A-D942-ACD9-72F06D9CCD5C}" userId="S::laureen@wikirate.org::e212949c-c6b8-4134-95c7-758975a37e0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1" dT="2025-09-24T08:57:27.85" personId="{8A1D411C-871A-D942-ACD9-72F06D9CCD5C}" id="{FA9E5662-6348-194F-8A55-7B1C84A8F6FF}">
    <text>Dürr Group</text>
  </threadedComment>
  <threadedComment ref="A45" dT="2025-09-24T08:57:47.17" personId="{8A1D411C-871A-D942-ACD9-72F06D9CCD5C}" id="{B7AFFA86-CFE6-5047-A1E6-F76B18CC858B}">
    <text>Thüga Holding</text>
  </threadedComment>
</ThreadedComments>
</file>

<file path=xl/threadedComments/threadedComment10.xml><?xml version="1.0" encoding="utf-8"?>
<ThreadedComments xmlns="http://schemas.microsoft.com/office/spreadsheetml/2018/threadedcomments" xmlns:x="http://schemas.openxmlformats.org/spreadsheetml/2006/main">
  <threadedComment ref="C6" dT="2025-09-19T08:18:36.69" personId="{8A1D411C-871A-D942-ACD9-72F06D9CCD5C}" id="{85A62334-228C-D240-8061-39A81C5BCBE2}">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1.xml><?xml version="1.0" encoding="utf-8"?>
<ThreadedComments xmlns="http://schemas.microsoft.com/office/spreadsheetml/2018/threadedcomments" xmlns:x="http://schemas.openxmlformats.org/spreadsheetml/2006/main">
  <threadedComment ref="C6" dT="2025-09-19T08:18:36.69" personId="{8A1D411C-871A-D942-ACD9-72F06D9CCD5C}" id="{DDB1E06E-AB07-AC46-A607-B262F954A850}">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2.xml><?xml version="1.0" encoding="utf-8"?>
<ThreadedComments xmlns="http://schemas.microsoft.com/office/spreadsheetml/2018/threadedcomments" xmlns:x="http://schemas.openxmlformats.org/spreadsheetml/2006/main">
  <threadedComment ref="C6" dT="2025-09-19T08:18:36.69" personId="{8A1D411C-871A-D942-ACD9-72F06D9CCD5C}" id="{D8549B25-2D54-0D4F-A057-C722A79F23D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3.xml><?xml version="1.0" encoding="utf-8"?>
<ThreadedComments xmlns="http://schemas.microsoft.com/office/spreadsheetml/2018/threadedcomments" xmlns:x="http://schemas.openxmlformats.org/spreadsheetml/2006/main">
  <threadedComment ref="C6" dT="2025-09-19T08:18:36.69" personId="{8A1D411C-871A-D942-ACD9-72F06D9CCD5C}" id="{8523B591-A07D-7244-81B1-A4CEEEEF9682}">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4.xml><?xml version="1.0" encoding="utf-8"?>
<ThreadedComments xmlns="http://schemas.microsoft.com/office/spreadsheetml/2018/threadedcomments" xmlns:x="http://schemas.openxmlformats.org/spreadsheetml/2006/main">
  <threadedComment ref="C6" dT="2025-09-19T08:18:36.69" personId="{8A1D411C-871A-D942-ACD9-72F06D9CCD5C}" id="{14039B60-EAFE-C049-9A18-E3331C8B8907}">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5.xml><?xml version="1.0" encoding="utf-8"?>
<ThreadedComments xmlns="http://schemas.microsoft.com/office/spreadsheetml/2018/threadedcomments" xmlns:x="http://schemas.openxmlformats.org/spreadsheetml/2006/main">
  <threadedComment ref="C6" dT="2025-09-19T08:18:36.69" personId="{8A1D411C-871A-D942-ACD9-72F06D9CCD5C}" id="{BF228762-724E-FD4C-828F-FB7A0A4A313B}">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6.xml><?xml version="1.0" encoding="utf-8"?>
<ThreadedComments xmlns="http://schemas.microsoft.com/office/spreadsheetml/2018/threadedcomments" xmlns:x="http://schemas.openxmlformats.org/spreadsheetml/2006/main">
  <threadedComment ref="C6" dT="2025-09-19T08:18:36.69" personId="{8A1D411C-871A-D942-ACD9-72F06D9CCD5C}" id="{98852109-67C3-264E-BDE4-908CDE6D9E20}">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7.xml><?xml version="1.0" encoding="utf-8"?>
<ThreadedComments xmlns="http://schemas.microsoft.com/office/spreadsheetml/2018/threadedcomments" xmlns:x="http://schemas.openxmlformats.org/spreadsheetml/2006/main">
  <threadedComment ref="C6" dT="2025-09-19T08:18:36.69" personId="{8A1D411C-871A-D942-ACD9-72F06D9CCD5C}" id="{29A1E897-2A56-724B-B975-BF1DD5D4C3E1}">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8.xml><?xml version="1.0" encoding="utf-8"?>
<ThreadedComments xmlns="http://schemas.microsoft.com/office/spreadsheetml/2018/threadedcomments" xmlns:x="http://schemas.openxmlformats.org/spreadsheetml/2006/main">
  <threadedComment ref="C6" dT="2025-09-19T08:18:36.69" personId="{8A1D411C-871A-D942-ACD9-72F06D9CCD5C}" id="{7FFCC939-ECE6-CA42-BB5F-4BD8845587C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19.xml><?xml version="1.0" encoding="utf-8"?>
<ThreadedComments xmlns="http://schemas.microsoft.com/office/spreadsheetml/2018/threadedcomments" xmlns:x="http://schemas.openxmlformats.org/spreadsheetml/2006/main">
  <threadedComment ref="C6" dT="2025-09-19T08:18:36.69" personId="{8A1D411C-871A-D942-ACD9-72F06D9CCD5C}" id="{2FFDE602-5218-DD45-BC9B-0BD8391AC6B8}">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xml><?xml version="1.0" encoding="utf-8"?>
<ThreadedComments xmlns="http://schemas.microsoft.com/office/spreadsheetml/2018/threadedcomments" xmlns:x="http://schemas.openxmlformats.org/spreadsheetml/2006/main">
  <threadedComment ref="T10" dT="2025-09-24T08:57:27.85" personId="{8A1D411C-871A-D942-ACD9-72F06D9CCD5C}" id="{16B4B856-949A-0B4C-8541-8F189F575228}">
    <text>Dürr Group</text>
  </threadedComment>
  <threadedComment ref="A11" dT="2025-09-24T08:57:27.85" personId="{8A1D411C-871A-D942-ACD9-72F06D9CCD5C}" id="{CBCC0DBC-C9EA-E84A-9272-EB33E4598431}">
    <text>Dürr Group</text>
  </threadedComment>
  <threadedComment ref="H16" dT="2025-09-24T08:57:27.85" personId="{8A1D411C-871A-D942-ACD9-72F06D9CCD5C}" id="{69570B78-C387-CD42-89CB-F23CCD72AFB7}">
    <text>Dürr Group</text>
  </threadedComment>
  <threadedComment ref="L16" dT="2025-09-24T08:57:27.85" personId="{8A1D411C-871A-D942-ACD9-72F06D9CCD5C}" id="{0DBE15EF-2948-2C4F-BDAE-2FCFBB8147D0}">
    <text>Dürr Group</text>
  </threadedComment>
  <threadedComment ref="P23" dT="2025-09-24T08:57:27.85" personId="{8A1D411C-871A-D942-ACD9-72F06D9CCD5C}" id="{3F491035-4021-244B-8741-BB1ABB597BCC}">
    <text>Dürr Group</text>
  </threadedComment>
  <threadedComment ref="H27" dT="2025-09-24T08:57:47.17" personId="{8A1D411C-871A-D942-ACD9-72F06D9CCD5C}" id="{C37A4B4C-26B1-2B45-A53F-E3A16B8E075C}">
    <text>Thüga Holding</text>
  </threadedComment>
  <threadedComment ref="P42" dT="2025-09-24T08:57:47.17" personId="{8A1D411C-871A-D942-ACD9-72F06D9CCD5C}" id="{6C2911F0-9968-A145-8C01-517FE9B73C45}">
    <text>Thüga Holding</text>
  </threadedComment>
  <threadedComment ref="T43" dT="2025-09-24T08:57:47.17" personId="{8A1D411C-871A-D942-ACD9-72F06D9CCD5C}" id="{010DABF1-870B-8945-AF49-33DDF32A1464}">
    <text>Thüga Holding</text>
  </threadedComment>
  <threadedComment ref="A45" dT="2025-09-24T08:57:47.17" personId="{8A1D411C-871A-D942-ACD9-72F06D9CCD5C}" id="{E1E29CE4-74DE-0041-98CB-52330035F1F8}">
    <text>Thüga Holding</text>
  </threadedComment>
  <threadedComment ref="L49" dT="2025-09-24T08:57:47.17" personId="{8A1D411C-871A-D942-ACD9-72F06D9CCD5C}" id="{DC6BE709-02AB-6B42-BD52-6D1230BD60C8}">
    <text>Thüga Holding</text>
  </threadedComment>
</ThreadedComments>
</file>

<file path=xl/threadedComments/threadedComment20.xml><?xml version="1.0" encoding="utf-8"?>
<ThreadedComments xmlns="http://schemas.microsoft.com/office/spreadsheetml/2018/threadedcomments" xmlns:x="http://schemas.openxmlformats.org/spreadsheetml/2006/main">
  <threadedComment ref="C6" dT="2025-09-19T08:18:36.69" personId="{8A1D411C-871A-D942-ACD9-72F06D9CCD5C}" id="{EAFD1941-9C66-454A-B14D-CAFDB48B383D}">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1.xml><?xml version="1.0" encoding="utf-8"?>
<ThreadedComments xmlns="http://schemas.microsoft.com/office/spreadsheetml/2018/threadedcomments" xmlns:x="http://schemas.openxmlformats.org/spreadsheetml/2006/main">
  <threadedComment ref="C6" dT="2025-09-19T08:18:36.69" personId="{8A1D411C-871A-D942-ACD9-72F06D9CCD5C}" id="{348E7BD9-9391-F842-BCB9-707AC33E63D7}">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2.xml><?xml version="1.0" encoding="utf-8"?>
<ThreadedComments xmlns="http://schemas.microsoft.com/office/spreadsheetml/2018/threadedcomments" xmlns:x="http://schemas.openxmlformats.org/spreadsheetml/2006/main">
  <threadedComment ref="C6" dT="2025-09-19T08:18:36.69" personId="{8A1D411C-871A-D942-ACD9-72F06D9CCD5C}" id="{18AE7F51-0179-7D4F-B92C-B1548BD3BDDC}">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3.xml><?xml version="1.0" encoding="utf-8"?>
<ThreadedComments xmlns="http://schemas.microsoft.com/office/spreadsheetml/2018/threadedcomments" xmlns:x="http://schemas.openxmlformats.org/spreadsheetml/2006/main">
  <threadedComment ref="C6" dT="2025-09-19T08:18:36.69" personId="{8A1D411C-871A-D942-ACD9-72F06D9CCD5C}" id="{D63FE7A7-4FD6-2A4D-9540-1457E0DBA6CD}">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4.xml><?xml version="1.0" encoding="utf-8"?>
<ThreadedComments xmlns="http://schemas.microsoft.com/office/spreadsheetml/2018/threadedcomments" xmlns:x="http://schemas.openxmlformats.org/spreadsheetml/2006/main">
  <threadedComment ref="C6" dT="2025-09-19T08:18:36.69" personId="{8A1D411C-871A-D942-ACD9-72F06D9CCD5C}" id="{C5D0ED38-44D5-EB49-A643-7B0F54BF725E}">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5.xml><?xml version="1.0" encoding="utf-8"?>
<ThreadedComments xmlns="http://schemas.microsoft.com/office/spreadsheetml/2018/threadedcomments" xmlns:x="http://schemas.openxmlformats.org/spreadsheetml/2006/main">
  <threadedComment ref="C6" dT="2025-09-19T08:18:36.69" personId="{8A1D411C-871A-D942-ACD9-72F06D9CCD5C}" id="{B14C37E1-974A-7447-833C-3F3D8869BB8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6.xml><?xml version="1.0" encoding="utf-8"?>
<ThreadedComments xmlns="http://schemas.microsoft.com/office/spreadsheetml/2018/threadedcomments" xmlns:x="http://schemas.openxmlformats.org/spreadsheetml/2006/main">
  <threadedComment ref="C6" dT="2025-09-19T08:18:36.69" personId="{8A1D411C-871A-D942-ACD9-72F06D9CCD5C}" id="{09DCA0CF-F13B-D04B-81A4-BE53733A475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7.xml><?xml version="1.0" encoding="utf-8"?>
<ThreadedComments xmlns="http://schemas.microsoft.com/office/spreadsheetml/2018/threadedcomments" xmlns:x="http://schemas.openxmlformats.org/spreadsheetml/2006/main">
  <threadedComment ref="C6" dT="2025-09-19T08:18:36.69" personId="{8A1D411C-871A-D942-ACD9-72F06D9CCD5C}" id="{4802DFF6-4070-BB4A-B441-5A3A0AB6CBA1}">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8.xml><?xml version="1.0" encoding="utf-8"?>
<ThreadedComments xmlns="http://schemas.microsoft.com/office/spreadsheetml/2018/threadedcomments" xmlns:x="http://schemas.openxmlformats.org/spreadsheetml/2006/main">
  <threadedComment ref="C6" dT="2025-09-19T08:18:36.69" personId="{8A1D411C-871A-D942-ACD9-72F06D9CCD5C}" id="{7E8F20B8-D823-7540-822A-59AB796BE0F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29.xml><?xml version="1.0" encoding="utf-8"?>
<ThreadedComments xmlns="http://schemas.microsoft.com/office/spreadsheetml/2018/threadedcomments" xmlns:x="http://schemas.openxmlformats.org/spreadsheetml/2006/main">
  <threadedComment ref="C6" dT="2025-09-19T08:18:36.69" personId="{8A1D411C-871A-D942-ACD9-72F06D9CCD5C}" id="{31F2E7F8-5341-C94E-B600-AAF6517259C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xml><?xml version="1.0" encoding="utf-8"?>
<ThreadedComments xmlns="http://schemas.microsoft.com/office/spreadsheetml/2018/threadedcomments" xmlns:x="http://schemas.openxmlformats.org/spreadsheetml/2006/main">
  <threadedComment ref="A39" dT="2025-09-24T08:57:27.85" personId="{8A1D411C-871A-D942-ACD9-72F06D9CCD5C}" id="{11EE506B-6620-3C4F-833B-A3C5A1B3DC4A}">
    <text>Dürr Group</text>
  </threadedComment>
  <threadedComment ref="A73" dT="2025-09-24T08:57:47.17" personId="{8A1D411C-871A-D942-ACD9-72F06D9CCD5C}" id="{B8B5E8D5-D8D5-0B40-8693-C9A13E77F93A}">
    <text>Thüga Holding</text>
  </threadedComment>
</ThreadedComments>
</file>

<file path=xl/threadedComments/threadedComment30.xml><?xml version="1.0" encoding="utf-8"?>
<ThreadedComments xmlns="http://schemas.microsoft.com/office/spreadsheetml/2018/threadedcomments" xmlns:x="http://schemas.openxmlformats.org/spreadsheetml/2006/main">
  <threadedComment ref="C6" dT="2025-09-19T08:18:36.69" personId="{8A1D411C-871A-D942-ACD9-72F06D9CCD5C}" id="{A53A1488-55CC-A544-A925-39E3356DAB5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1.xml><?xml version="1.0" encoding="utf-8"?>
<ThreadedComments xmlns="http://schemas.microsoft.com/office/spreadsheetml/2018/threadedcomments" xmlns:x="http://schemas.openxmlformats.org/spreadsheetml/2006/main">
  <threadedComment ref="C6" dT="2025-09-19T08:18:36.69" personId="{8A1D411C-871A-D942-ACD9-72F06D9CCD5C}" id="{957361A5-D6BF-1246-AD5D-82196E7ABDD9}">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2.xml><?xml version="1.0" encoding="utf-8"?>
<ThreadedComments xmlns="http://schemas.microsoft.com/office/spreadsheetml/2018/threadedcomments" xmlns:x="http://schemas.openxmlformats.org/spreadsheetml/2006/main">
  <threadedComment ref="C6" dT="2025-09-19T08:18:36.69" personId="{8A1D411C-871A-D942-ACD9-72F06D9CCD5C}" id="{A67C9060-9CA5-3F41-8B4B-7796D3C46D83}">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3.xml><?xml version="1.0" encoding="utf-8"?>
<ThreadedComments xmlns="http://schemas.microsoft.com/office/spreadsheetml/2018/threadedcomments" xmlns:x="http://schemas.openxmlformats.org/spreadsheetml/2006/main">
  <threadedComment ref="C6" dT="2025-09-19T08:18:36.69" personId="{8A1D411C-871A-D942-ACD9-72F06D9CCD5C}" id="{462EB1EC-78BD-E247-B196-FC39DA4505F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4.xml><?xml version="1.0" encoding="utf-8"?>
<ThreadedComments xmlns="http://schemas.microsoft.com/office/spreadsheetml/2018/threadedcomments" xmlns:x="http://schemas.openxmlformats.org/spreadsheetml/2006/main">
  <threadedComment ref="C6" dT="2025-09-19T08:18:36.69" personId="{8A1D411C-871A-D942-ACD9-72F06D9CCD5C}" id="{E4911E35-FDEB-6640-B82E-C8CB38D21A0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5.xml><?xml version="1.0" encoding="utf-8"?>
<ThreadedComments xmlns="http://schemas.microsoft.com/office/spreadsheetml/2018/threadedcomments" xmlns:x="http://schemas.openxmlformats.org/spreadsheetml/2006/main">
  <threadedComment ref="C6" dT="2025-09-19T08:18:36.69" personId="{8A1D411C-871A-D942-ACD9-72F06D9CCD5C}" id="{5ACED0B4-D1D7-B941-B7D3-F91F6B04FC00}">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6.xml><?xml version="1.0" encoding="utf-8"?>
<ThreadedComments xmlns="http://schemas.microsoft.com/office/spreadsheetml/2018/threadedcomments" xmlns:x="http://schemas.openxmlformats.org/spreadsheetml/2006/main">
  <threadedComment ref="C6" dT="2025-09-19T08:18:36.69" personId="{8A1D411C-871A-D942-ACD9-72F06D9CCD5C}" id="{2E5B431A-EE72-0C4B-8240-4DAC35205108}">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7.xml><?xml version="1.0" encoding="utf-8"?>
<ThreadedComments xmlns="http://schemas.microsoft.com/office/spreadsheetml/2018/threadedcomments" xmlns:x="http://schemas.openxmlformats.org/spreadsheetml/2006/main">
  <threadedComment ref="C6" dT="2025-09-19T08:18:36.69" personId="{8A1D411C-871A-D942-ACD9-72F06D9CCD5C}" id="{FE6D78FA-E856-BE4C-9F46-6F1C27750488}">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8.xml><?xml version="1.0" encoding="utf-8"?>
<ThreadedComments xmlns="http://schemas.microsoft.com/office/spreadsheetml/2018/threadedcomments" xmlns:x="http://schemas.openxmlformats.org/spreadsheetml/2006/main">
  <threadedComment ref="C6" dT="2025-09-19T08:18:36.69" personId="{8A1D411C-871A-D942-ACD9-72F06D9CCD5C}" id="{94AF4987-F7D8-5643-81D4-6EF04641C427}">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39.xml><?xml version="1.0" encoding="utf-8"?>
<ThreadedComments xmlns="http://schemas.microsoft.com/office/spreadsheetml/2018/threadedcomments" xmlns:x="http://schemas.openxmlformats.org/spreadsheetml/2006/main">
  <threadedComment ref="C6" dT="2025-09-19T08:18:36.69" personId="{8A1D411C-871A-D942-ACD9-72F06D9CCD5C}" id="{E120897B-CCF9-A84F-9ECB-989F9569A87C}">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xml><?xml version="1.0" encoding="utf-8"?>
<ThreadedComments xmlns="http://schemas.microsoft.com/office/spreadsheetml/2018/threadedcomments" xmlns:x="http://schemas.openxmlformats.org/spreadsheetml/2006/main">
  <threadedComment ref="C6" dT="2025-09-19T08:18:36.69" personId="{8A1D411C-871A-D942-ACD9-72F06D9CCD5C}" id="{0604B075-8D72-9949-A78C-01160F04D51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0.xml><?xml version="1.0" encoding="utf-8"?>
<ThreadedComments xmlns="http://schemas.microsoft.com/office/spreadsheetml/2018/threadedcomments" xmlns:x="http://schemas.openxmlformats.org/spreadsheetml/2006/main">
  <threadedComment ref="C6" dT="2025-09-19T08:18:36.69" personId="{8A1D411C-871A-D942-ACD9-72F06D9CCD5C}" id="{9BA23EB7-2947-054F-A46D-88B7FD4656F1}">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1.xml><?xml version="1.0" encoding="utf-8"?>
<ThreadedComments xmlns="http://schemas.microsoft.com/office/spreadsheetml/2018/threadedcomments" xmlns:x="http://schemas.openxmlformats.org/spreadsheetml/2006/main">
  <threadedComment ref="C6" dT="2025-09-19T08:18:36.69" personId="{8A1D411C-871A-D942-ACD9-72F06D9CCD5C}" id="{2CB99E0A-FB33-7A4D-8AF2-7CB0FDF59850}">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2.xml><?xml version="1.0" encoding="utf-8"?>
<ThreadedComments xmlns="http://schemas.microsoft.com/office/spreadsheetml/2018/threadedcomments" xmlns:x="http://schemas.openxmlformats.org/spreadsheetml/2006/main">
  <threadedComment ref="C6" dT="2025-09-19T08:18:36.69" personId="{8A1D411C-871A-D942-ACD9-72F06D9CCD5C}" id="{7625BC6C-0184-6E42-819D-159355296CFB}">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3.xml><?xml version="1.0" encoding="utf-8"?>
<ThreadedComments xmlns="http://schemas.microsoft.com/office/spreadsheetml/2018/threadedcomments" xmlns:x="http://schemas.openxmlformats.org/spreadsheetml/2006/main">
  <threadedComment ref="C6" dT="2025-09-19T08:18:36.69" personId="{8A1D411C-871A-D942-ACD9-72F06D9CCD5C}" id="{08564A3A-67CD-D142-8AE5-15539946D79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4.xml><?xml version="1.0" encoding="utf-8"?>
<ThreadedComments xmlns="http://schemas.microsoft.com/office/spreadsheetml/2018/threadedcomments" xmlns:x="http://schemas.openxmlformats.org/spreadsheetml/2006/main">
  <threadedComment ref="C6" dT="2025-09-19T08:18:36.69" personId="{8A1D411C-871A-D942-ACD9-72F06D9CCD5C}" id="{5F3BE126-EF60-4E42-BD07-A05C5221ED1A}">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5.xml><?xml version="1.0" encoding="utf-8"?>
<ThreadedComments xmlns="http://schemas.microsoft.com/office/spreadsheetml/2018/threadedcomments" xmlns:x="http://schemas.openxmlformats.org/spreadsheetml/2006/main">
  <threadedComment ref="C6" dT="2025-09-19T08:18:36.69" personId="{8A1D411C-871A-D942-ACD9-72F06D9CCD5C}" id="{60EF7096-E63E-D74D-A6D0-371F2AA88B1A}">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6.xml><?xml version="1.0" encoding="utf-8"?>
<ThreadedComments xmlns="http://schemas.microsoft.com/office/spreadsheetml/2018/threadedcomments" xmlns:x="http://schemas.openxmlformats.org/spreadsheetml/2006/main">
  <threadedComment ref="C6" dT="2025-09-19T08:18:36.69" personId="{8A1D411C-871A-D942-ACD9-72F06D9CCD5C}" id="{217A9860-B29B-524E-AE98-D622A3AD2430}">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7.xml><?xml version="1.0" encoding="utf-8"?>
<ThreadedComments xmlns="http://schemas.microsoft.com/office/spreadsheetml/2018/threadedcomments" xmlns:x="http://schemas.openxmlformats.org/spreadsheetml/2006/main">
  <threadedComment ref="C6" dT="2025-09-19T08:18:36.69" personId="{8A1D411C-871A-D942-ACD9-72F06D9CCD5C}" id="{7EF3A09A-5FC9-034B-BB3F-9FBC4B400C7D}">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8.xml><?xml version="1.0" encoding="utf-8"?>
<ThreadedComments xmlns="http://schemas.microsoft.com/office/spreadsheetml/2018/threadedcomments" xmlns:x="http://schemas.openxmlformats.org/spreadsheetml/2006/main">
  <threadedComment ref="C6" dT="2025-09-19T08:18:36.69" personId="{8A1D411C-871A-D942-ACD9-72F06D9CCD5C}" id="{4B27C695-5F44-C24C-9D22-ABF02B7E690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49.xml><?xml version="1.0" encoding="utf-8"?>
<ThreadedComments xmlns="http://schemas.microsoft.com/office/spreadsheetml/2018/threadedcomments" xmlns:x="http://schemas.openxmlformats.org/spreadsheetml/2006/main">
  <threadedComment ref="C6" dT="2025-09-19T08:18:36.69" personId="{8A1D411C-871A-D942-ACD9-72F06D9CCD5C}" id="{F8DE2CBC-8785-ED43-AF6F-34A94BABA649}">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xml><?xml version="1.0" encoding="utf-8"?>
<ThreadedComments xmlns="http://schemas.microsoft.com/office/spreadsheetml/2018/threadedcomments" xmlns:x="http://schemas.openxmlformats.org/spreadsheetml/2006/main">
  <threadedComment ref="C6" dT="2025-09-19T08:18:36.69" personId="{8A1D411C-871A-D942-ACD9-72F06D9CCD5C}" id="{CD3AEE28-8032-304E-B8B9-D80449A6D6B4}">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0.xml><?xml version="1.0" encoding="utf-8"?>
<ThreadedComments xmlns="http://schemas.microsoft.com/office/spreadsheetml/2018/threadedcomments" xmlns:x="http://schemas.openxmlformats.org/spreadsheetml/2006/main">
  <threadedComment ref="C6" dT="2025-09-19T08:18:36.69" personId="{8A1D411C-871A-D942-ACD9-72F06D9CCD5C}" id="{F4DB20E1-9B31-3846-BB67-513E56582102}">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1.xml><?xml version="1.0" encoding="utf-8"?>
<ThreadedComments xmlns="http://schemas.microsoft.com/office/spreadsheetml/2018/threadedcomments" xmlns:x="http://schemas.openxmlformats.org/spreadsheetml/2006/main">
  <threadedComment ref="C6" dT="2025-09-19T08:18:36.69" personId="{8A1D411C-871A-D942-ACD9-72F06D9CCD5C}" id="{ACE9598A-07E8-D641-9101-B205D187EC78}">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2.xml><?xml version="1.0" encoding="utf-8"?>
<ThreadedComments xmlns="http://schemas.microsoft.com/office/spreadsheetml/2018/threadedcomments" xmlns:x="http://schemas.openxmlformats.org/spreadsheetml/2006/main">
  <threadedComment ref="C6" dT="2025-09-19T08:18:36.69" personId="{8A1D411C-871A-D942-ACD9-72F06D9CCD5C}" id="{E50B13CC-80DC-D54F-836D-E5D1C0488E76}">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3.xml><?xml version="1.0" encoding="utf-8"?>
<ThreadedComments xmlns="http://schemas.microsoft.com/office/spreadsheetml/2018/threadedcomments" xmlns:x="http://schemas.openxmlformats.org/spreadsheetml/2006/main">
  <threadedComment ref="C6" dT="2025-09-19T08:18:36.69" personId="{8A1D411C-871A-D942-ACD9-72F06D9CCD5C}" id="{A9B30058-0002-204F-A534-3668413CBBA5}">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54.xml><?xml version="1.0" encoding="utf-8"?>
<ThreadedComments xmlns="http://schemas.microsoft.com/office/spreadsheetml/2018/threadedcomments" xmlns:x="http://schemas.openxmlformats.org/spreadsheetml/2006/main">
  <threadedComment ref="C6" dT="2025-09-19T08:18:36.69" personId="{8A1D411C-871A-D942-ACD9-72F06D9CCD5C}" id="{86ABA798-7E00-7142-AB0E-B9EAF8F2704F}">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C6" dT="2025-09-19T08:18:36.69" personId="{8A1D411C-871A-D942-ACD9-72F06D9CCD5C}" id="{1863AE3D-65A0-224D-84BE-AA63BD0D7E0D}">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7.xml><?xml version="1.0" encoding="utf-8"?>
<ThreadedComments xmlns="http://schemas.microsoft.com/office/spreadsheetml/2018/threadedcomments" xmlns:x="http://schemas.openxmlformats.org/spreadsheetml/2006/main">
  <threadedComment ref="C6" dT="2025-09-19T08:18:36.69" personId="{8A1D411C-871A-D942-ACD9-72F06D9CCD5C}" id="{46B4CD74-4FA8-5441-878D-4A7FE2F0A44E}">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8.xml><?xml version="1.0" encoding="utf-8"?>
<ThreadedComments xmlns="http://schemas.microsoft.com/office/spreadsheetml/2018/threadedcomments" xmlns:x="http://schemas.openxmlformats.org/spreadsheetml/2006/main">
  <threadedComment ref="C6" dT="2025-09-19T08:18:36.69" personId="{8A1D411C-871A-D942-ACD9-72F06D9CCD5C}" id="{F613EDF7-11BD-404A-AF18-548485B09CD8}">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threadedComments/threadedComment9.xml><?xml version="1.0" encoding="utf-8"?>
<ThreadedComments xmlns="http://schemas.microsoft.com/office/spreadsheetml/2018/threadedcomments" xmlns:x="http://schemas.openxmlformats.org/spreadsheetml/2006/main">
  <threadedComment ref="C6" dT="2025-09-19T08:18:36.69" personId="{8A1D411C-871A-D942-ACD9-72F06D9CCD5C}" id="{37C2ECC0-ACC3-3743-AD24-35586C6D532F}">
    <text>10 points: Any combination of answers that includes Inline XBRL_x000D_
_x000D_
8 points: Any combination of answers that includes PDF (text based) OR Web HTML page, AND Standalone XBRL_x000D_
_x000D_
6 points: PDF (text based) OR Web HTML page, AND Spreadsheet _x000D_
_x000D_
5 points: PDF (text based) AND Web HTML page_x000D_
_x000D_
4 points: PDF (text based) OR Web HTML page OR Spreadsheet _x000D_
_x000D_
1 point: ONLY PDF (image only) _x000D_
_x000D_
0 points: No report available</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11.xml"/><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12.xml"/><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13.xml"/><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microsoft.com/office/2017/10/relationships/threadedComment" Target="../threadedComments/threadedComment14.xml"/><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microsoft.com/office/2017/10/relationships/threadedComment" Target="../threadedComments/threadedComment15.xml"/><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6.xml"/><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17.xml"/><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18.xml"/><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19.xml"/><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3.xml.rels><?xml version="1.0" encoding="UTF-8" standalone="yes"?>
<Relationships xmlns="http://schemas.openxmlformats.org/package/2006/relationships"><Relationship Id="rId3" Type="http://schemas.microsoft.com/office/2017/10/relationships/threadedComment" Target="../threadedComments/threadedComment20.xml"/><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4.xml.rels><?xml version="1.0" encoding="UTF-8" standalone="yes"?>
<Relationships xmlns="http://schemas.openxmlformats.org/package/2006/relationships"><Relationship Id="rId3" Type="http://schemas.microsoft.com/office/2017/10/relationships/threadedComment" Target="../threadedComments/threadedComment21.xml"/><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5.xml.rels><?xml version="1.0" encoding="UTF-8" standalone="yes"?>
<Relationships xmlns="http://schemas.openxmlformats.org/package/2006/relationships"><Relationship Id="rId3" Type="http://schemas.microsoft.com/office/2017/10/relationships/threadedComment" Target="../threadedComments/threadedComment22.xml"/><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6.xml.rels><?xml version="1.0" encoding="UTF-8" standalone="yes"?>
<Relationships xmlns="http://schemas.openxmlformats.org/package/2006/relationships"><Relationship Id="rId3" Type="http://schemas.microsoft.com/office/2017/10/relationships/threadedComment" Target="../threadedComments/threadedComment23.xml"/><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7.xml.rels><?xml version="1.0" encoding="UTF-8" standalone="yes"?>
<Relationships xmlns="http://schemas.openxmlformats.org/package/2006/relationships"><Relationship Id="rId3" Type="http://schemas.microsoft.com/office/2017/10/relationships/threadedComment" Target="../threadedComments/threadedComment24.xml"/><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28.xml.rels><?xml version="1.0" encoding="UTF-8" standalone="yes"?>
<Relationships xmlns="http://schemas.openxmlformats.org/package/2006/relationships"><Relationship Id="rId3" Type="http://schemas.microsoft.com/office/2017/10/relationships/threadedComment" Target="../threadedComments/threadedComment25.xml"/><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29.xml.rels><?xml version="1.0" encoding="UTF-8" standalone="yes"?>
<Relationships xmlns="http://schemas.openxmlformats.org/package/2006/relationships"><Relationship Id="rId3" Type="http://schemas.microsoft.com/office/2017/10/relationships/threadedComment" Target="../threadedComments/threadedComment26.xml"/><Relationship Id="rId2" Type="http://schemas.openxmlformats.org/officeDocument/2006/relationships/comments" Target="../comments26.xml"/><Relationship Id="rId1" Type="http://schemas.openxmlformats.org/officeDocument/2006/relationships/vmlDrawing" Target="../drawings/vmlDrawing26.vml"/></Relationships>
</file>

<file path=xl/worksheets/_rels/sheet30.xml.rels><?xml version="1.0" encoding="UTF-8" standalone="yes"?>
<Relationships xmlns="http://schemas.openxmlformats.org/package/2006/relationships"><Relationship Id="rId3" Type="http://schemas.microsoft.com/office/2017/10/relationships/threadedComment" Target="../threadedComments/threadedComment27.xml"/><Relationship Id="rId2" Type="http://schemas.openxmlformats.org/officeDocument/2006/relationships/comments" Target="../comments27.xml"/><Relationship Id="rId1" Type="http://schemas.openxmlformats.org/officeDocument/2006/relationships/vmlDrawing" Target="../drawings/vmlDrawing27.vml"/></Relationships>
</file>

<file path=xl/worksheets/_rels/sheet31.xml.rels><?xml version="1.0" encoding="UTF-8" standalone="yes"?>
<Relationships xmlns="http://schemas.openxmlformats.org/package/2006/relationships"><Relationship Id="rId3" Type="http://schemas.microsoft.com/office/2017/10/relationships/threadedComment" Target="../threadedComments/threadedComment28.xml"/><Relationship Id="rId2" Type="http://schemas.openxmlformats.org/officeDocument/2006/relationships/comments" Target="../comments28.xml"/><Relationship Id="rId1" Type="http://schemas.openxmlformats.org/officeDocument/2006/relationships/vmlDrawing" Target="../drawings/vmlDrawing28.vml"/></Relationships>
</file>

<file path=xl/worksheets/_rels/sheet32.xml.rels><?xml version="1.0" encoding="UTF-8" standalone="yes"?>
<Relationships xmlns="http://schemas.openxmlformats.org/package/2006/relationships"><Relationship Id="rId3" Type="http://schemas.microsoft.com/office/2017/10/relationships/threadedComment" Target="../threadedComments/threadedComment29.xml"/><Relationship Id="rId2" Type="http://schemas.openxmlformats.org/officeDocument/2006/relationships/comments" Target="../comments29.xml"/><Relationship Id="rId1" Type="http://schemas.openxmlformats.org/officeDocument/2006/relationships/vmlDrawing" Target="../drawings/vmlDrawing29.vml"/></Relationships>
</file>

<file path=xl/worksheets/_rels/sheet33.xml.rels><?xml version="1.0" encoding="UTF-8" standalone="yes"?>
<Relationships xmlns="http://schemas.openxmlformats.org/package/2006/relationships"><Relationship Id="rId3" Type="http://schemas.microsoft.com/office/2017/10/relationships/threadedComment" Target="../threadedComments/threadedComment30.xml"/><Relationship Id="rId2" Type="http://schemas.openxmlformats.org/officeDocument/2006/relationships/comments" Target="../comments30.xml"/><Relationship Id="rId1" Type="http://schemas.openxmlformats.org/officeDocument/2006/relationships/vmlDrawing" Target="../drawings/vmlDrawing30.vml"/></Relationships>
</file>

<file path=xl/worksheets/_rels/sheet34.xml.rels><?xml version="1.0" encoding="UTF-8" standalone="yes"?>
<Relationships xmlns="http://schemas.openxmlformats.org/package/2006/relationships"><Relationship Id="rId3" Type="http://schemas.microsoft.com/office/2017/10/relationships/threadedComment" Target="../threadedComments/threadedComment31.xml"/><Relationship Id="rId2" Type="http://schemas.openxmlformats.org/officeDocument/2006/relationships/comments" Target="../comments31.xml"/><Relationship Id="rId1" Type="http://schemas.openxmlformats.org/officeDocument/2006/relationships/vmlDrawing" Target="../drawings/vmlDrawing31.vml"/></Relationships>
</file>

<file path=xl/worksheets/_rels/sheet35.xml.rels><?xml version="1.0" encoding="UTF-8" standalone="yes"?>
<Relationships xmlns="http://schemas.openxmlformats.org/package/2006/relationships"><Relationship Id="rId3" Type="http://schemas.microsoft.com/office/2017/10/relationships/threadedComment" Target="../threadedComments/threadedComment32.xml"/><Relationship Id="rId2" Type="http://schemas.openxmlformats.org/officeDocument/2006/relationships/comments" Target="../comments32.xml"/><Relationship Id="rId1" Type="http://schemas.openxmlformats.org/officeDocument/2006/relationships/vmlDrawing" Target="../drawings/vmlDrawing32.vml"/></Relationships>
</file>

<file path=xl/worksheets/_rels/sheet36.xml.rels><?xml version="1.0" encoding="UTF-8" standalone="yes"?>
<Relationships xmlns="http://schemas.openxmlformats.org/package/2006/relationships"><Relationship Id="rId3" Type="http://schemas.microsoft.com/office/2017/10/relationships/threadedComment" Target="../threadedComments/threadedComment33.xml"/><Relationship Id="rId2" Type="http://schemas.openxmlformats.org/officeDocument/2006/relationships/comments" Target="../comments33.xml"/><Relationship Id="rId1" Type="http://schemas.openxmlformats.org/officeDocument/2006/relationships/vmlDrawing" Target="../drawings/vmlDrawing33.vml"/></Relationships>
</file>

<file path=xl/worksheets/_rels/sheet37.xml.rels><?xml version="1.0" encoding="UTF-8" standalone="yes"?>
<Relationships xmlns="http://schemas.openxmlformats.org/package/2006/relationships"><Relationship Id="rId3" Type="http://schemas.microsoft.com/office/2017/10/relationships/threadedComment" Target="../threadedComments/threadedComment34.xml"/><Relationship Id="rId2" Type="http://schemas.openxmlformats.org/officeDocument/2006/relationships/comments" Target="../comments34.xml"/><Relationship Id="rId1" Type="http://schemas.openxmlformats.org/officeDocument/2006/relationships/vmlDrawing" Target="../drawings/vmlDrawing34.vml"/></Relationships>
</file>

<file path=xl/worksheets/_rels/sheet38.xml.rels><?xml version="1.0" encoding="UTF-8" standalone="yes"?>
<Relationships xmlns="http://schemas.openxmlformats.org/package/2006/relationships"><Relationship Id="rId3" Type="http://schemas.microsoft.com/office/2017/10/relationships/threadedComment" Target="../threadedComments/threadedComment35.xml"/><Relationship Id="rId2" Type="http://schemas.openxmlformats.org/officeDocument/2006/relationships/comments" Target="../comments35.xml"/><Relationship Id="rId1" Type="http://schemas.openxmlformats.org/officeDocument/2006/relationships/vmlDrawing" Target="../drawings/vmlDrawing35.vml"/></Relationships>
</file>

<file path=xl/worksheets/_rels/sheet39.xml.rels><?xml version="1.0" encoding="UTF-8" standalone="yes"?>
<Relationships xmlns="http://schemas.openxmlformats.org/package/2006/relationships"><Relationship Id="rId3" Type="http://schemas.microsoft.com/office/2017/10/relationships/threadedComment" Target="../threadedComments/threadedComment36.xml"/><Relationship Id="rId2" Type="http://schemas.openxmlformats.org/officeDocument/2006/relationships/comments" Target="../comments36.xml"/><Relationship Id="rId1" Type="http://schemas.openxmlformats.org/officeDocument/2006/relationships/vmlDrawing" Target="../drawings/vmlDrawing36.vml"/></Relationships>
</file>

<file path=xl/worksheets/_rels/sheet40.xml.rels><?xml version="1.0" encoding="UTF-8" standalone="yes"?>
<Relationships xmlns="http://schemas.openxmlformats.org/package/2006/relationships"><Relationship Id="rId3" Type="http://schemas.microsoft.com/office/2017/10/relationships/threadedComment" Target="../threadedComments/threadedComment37.xml"/><Relationship Id="rId2" Type="http://schemas.openxmlformats.org/officeDocument/2006/relationships/comments" Target="../comments37.xml"/><Relationship Id="rId1" Type="http://schemas.openxmlformats.org/officeDocument/2006/relationships/vmlDrawing" Target="../drawings/vmlDrawing37.vml"/></Relationships>
</file>

<file path=xl/worksheets/_rels/sheet41.xml.rels><?xml version="1.0" encoding="UTF-8" standalone="yes"?>
<Relationships xmlns="http://schemas.openxmlformats.org/package/2006/relationships"><Relationship Id="rId3" Type="http://schemas.microsoft.com/office/2017/10/relationships/threadedComment" Target="../threadedComments/threadedComment38.xml"/><Relationship Id="rId2" Type="http://schemas.openxmlformats.org/officeDocument/2006/relationships/comments" Target="../comments38.xml"/><Relationship Id="rId1" Type="http://schemas.openxmlformats.org/officeDocument/2006/relationships/vmlDrawing" Target="../drawings/vmlDrawing38.vml"/></Relationships>
</file>

<file path=xl/worksheets/_rels/sheet42.xml.rels><?xml version="1.0" encoding="UTF-8" standalone="yes"?>
<Relationships xmlns="http://schemas.openxmlformats.org/package/2006/relationships"><Relationship Id="rId3" Type="http://schemas.microsoft.com/office/2017/10/relationships/threadedComment" Target="../threadedComments/threadedComment39.xml"/><Relationship Id="rId2" Type="http://schemas.openxmlformats.org/officeDocument/2006/relationships/comments" Target="../comments39.xml"/><Relationship Id="rId1" Type="http://schemas.openxmlformats.org/officeDocument/2006/relationships/vmlDrawing" Target="../drawings/vmlDrawing39.vml"/></Relationships>
</file>

<file path=xl/worksheets/_rels/sheet43.xml.rels><?xml version="1.0" encoding="UTF-8" standalone="yes"?>
<Relationships xmlns="http://schemas.openxmlformats.org/package/2006/relationships"><Relationship Id="rId3" Type="http://schemas.microsoft.com/office/2017/10/relationships/threadedComment" Target="../threadedComments/threadedComment40.xml"/><Relationship Id="rId2" Type="http://schemas.openxmlformats.org/officeDocument/2006/relationships/comments" Target="../comments40.xml"/><Relationship Id="rId1" Type="http://schemas.openxmlformats.org/officeDocument/2006/relationships/vmlDrawing" Target="../drawings/vmlDrawing40.vml"/></Relationships>
</file>

<file path=xl/worksheets/_rels/sheet44.xml.rels><?xml version="1.0" encoding="UTF-8" standalone="yes"?>
<Relationships xmlns="http://schemas.openxmlformats.org/package/2006/relationships"><Relationship Id="rId3" Type="http://schemas.microsoft.com/office/2017/10/relationships/threadedComment" Target="../threadedComments/threadedComment41.xml"/><Relationship Id="rId2" Type="http://schemas.openxmlformats.org/officeDocument/2006/relationships/comments" Target="../comments41.xml"/><Relationship Id="rId1" Type="http://schemas.openxmlformats.org/officeDocument/2006/relationships/vmlDrawing" Target="../drawings/vmlDrawing41.vml"/></Relationships>
</file>

<file path=xl/worksheets/_rels/sheet45.xml.rels><?xml version="1.0" encoding="UTF-8" standalone="yes"?>
<Relationships xmlns="http://schemas.openxmlformats.org/package/2006/relationships"><Relationship Id="rId3" Type="http://schemas.microsoft.com/office/2017/10/relationships/threadedComment" Target="../threadedComments/threadedComment42.xml"/><Relationship Id="rId2" Type="http://schemas.openxmlformats.org/officeDocument/2006/relationships/comments" Target="../comments42.xml"/><Relationship Id="rId1" Type="http://schemas.openxmlformats.org/officeDocument/2006/relationships/vmlDrawing" Target="../drawings/vmlDrawing42.vml"/></Relationships>
</file>

<file path=xl/worksheets/_rels/sheet46.xml.rels><?xml version="1.0" encoding="UTF-8" standalone="yes"?>
<Relationships xmlns="http://schemas.openxmlformats.org/package/2006/relationships"><Relationship Id="rId3" Type="http://schemas.microsoft.com/office/2017/10/relationships/threadedComment" Target="../threadedComments/threadedComment43.xml"/><Relationship Id="rId2" Type="http://schemas.openxmlformats.org/officeDocument/2006/relationships/comments" Target="../comments43.xml"/><Relationship Id="rId1" Type="http://schemas.openxmlformats.org/officeDocument/2006/relationships/vmlDrawing" Target="../drawings/vmlDrawing43.vml"/></Relationships>
</file>

<file path=xl/worksheets/_rels/sheet47.xml.rels><?xml version="1.0" encoding="UTF-8" standalone="yes"?>
<Relationships xmlns="http://schemas.openxmlformats.org/package/2006/relationships"><Relationship Id="rId3" Type="http://schemas.microsoft.com/office/2017/10/relationships/threadedComment" Target="../threadedComments/threadedComment44.xml"/><Relationship Id="rId2" Type="http://schemas.openxmlformats.org/officeDocument/2006/relationships/comments" Target="../comments44.xml"/><Relationship Id="rId1" Type="http://schemas.openxmlformats.org/officeDocument/2006/relationships/vmlDrawing" Target="../drawings/vmlDrawing44.vml"/></Relationships>
</file>

<file path=xl/worksheets/_rels/sheet48.xml.rels><?xml version="1.0" encoding="UTF-8" standalone="yes"?>
<Relationships xmlns="http://schemas.openxmlformats.org/package/2006/relationships"><Relationship Id="rId3" Type="http://schemas.microsoft.com/office/2017/10/relationships/threadedComment" Target="../threadedComments/threadedComment45.xml"/><Relationship Id="rId2" Type="http://schemas.openxmlformats.org/officeDocument/2006/relationships/comments" Target="../comments45.xml"/><Relationship Id="rId1" Type="http://schemas.openxmlformats.org/officeDocument/2006/relationships/vmlDrawing" Target="../drawings/vmlDrawing45.vml"/></Relationships>
</file>

<file path=xl/worksheets/_rels/sheet49.xml.rels><?xml version="1.0" encoding="UTF-8" standalone="yes"?>
<Relationships xmlns="http://schemas.openxmlformats.org/package/2006/relationships"><Relationship Id="rId3" Type="http://schemas.microsoft.com/office/2017/10/relationships/threadedComment" Target="../threadedComments/threadedComment46.xml"/><Relationship Id="rId2" Type="http://schemas.openxmlformats.org/officeDocument/2006/relationships/comments" Target="../comments46.xml"/><Relationship Id="rId1" Type="http://schemas.openxmlformats.org/officeDocument/2006/relationships/vmlDrawing" Target="../drawings/vmlDrawing46.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0.xml.rels><?xml version="1.0" encoding="UTF-8" standalone="yes"?>
<Relationships xmlns="http://schemas.openxmlformats.org/package/2006/relationships"><Relationship Id="rId3" Type="http://schemas.microsoft.com/office/2017/10/relationships/threadedComment" Target="../threadedComments/threadedComment47.xml"/><Relationship Id="rId2" Type="http://schemas.openxmlformats.org/officeDocument/2006/relationships/comments" Target="../comments47.xml"/><Relationship Id="rId1" Type="http://schemas.openxmlformats.org/officeDocument/2006/relationships/vmlDrawing" Target="../drawings/vmlDrawing47.vml"/></Relationships>
</file>

<file path=xl/worksheets/_rels/sheet51.xml.rels><?xml version="1.0" encoding="UTF-8" standalone="yes"?>
<Relationships xmlns="http://schemas.openxmlformats.org/package/2006/relationships"><Relationship Id="rId3" Type="http://schemas.microsoft.com/office/2017/10/relationships/threadedComment" Target="../threadedComments/threadedComment48.xml"/><Relationship Id="rId2" Type="http://schemas.openxmlformats.org/officeDocument/2006/relationships/comments" Target="../comments48.xml"/><Relationship Id="rId1" Type="http://schemas.openxmlformats.org/officeDocument/2006/relationships/vmlDrawing" Target="../drawings/vmlDrawing48.vml"/></Relationships>
</file>

<file path=xl/worksheets/_rels/sheet52.xml.rels><?xml version="1.0" encoding="UTF-8" standalone="yes"?>
<Relationships xmlns="http://schemas.openxmlformats.org/package/2006/relationships"><Relationship Id="rId3" Type="http://schemas.microsoft.com/office/2017/10/relationships/threadedComment" Target="../threadedComments/threadedComment49.xml"/><Relationship Id="rId2" Type="http://schemas.openxmlformats.org/officeDocument/2006/relationships/comments" Target="../comments49.xml"/><Relationship Id="rId1" Type="http://schemas.openxmlformats.org/officeDocument/2006/relationships/vmlDrawing" Target="../drawings/vmlDrawing49.vml"/></Relationships>
</file>

<file path=xl/worksheets/_rels/sheet53.xml.rels><?xml version="1.0" encoding="UTF-8" standalone="yes"?>
<Relationships xmlns="http://schemas.openxmlformats.org/package/2006/relationships"><Relationship Id="rId3" Type="http://schemas.microsoft.com/office/2017/10/relationships/threadedComment" Target="../threadedComments/threadedComment50.xml"/><Relationship Id="rId2" Type="http://schemas.openxmlformats.org/officeDocument/2006/relationships/comments" Target="../comments50.xml"/><Relationship Id="rId1" Type="http://schemas.openxmlformats.org/officeDocument/2006/relationships/vmlDrawing" Target="../drawings/vmlDrawing50.vml"/></Relationships>
</file>

<file path=xl/worksheets/_rels/sheet54.xml.rels><?xml version="1.0" encoding="UTF-8" standalone="yes"?>
<Relationships xmlns="http://schemas.openxmlformats.org/package/2006/relationships"><Relationship Id="rId3" Type="http://schemas.microsoft.com/office/2017/10/relationships/threadedComment" Target="../threadedComments/threadedComment51.xml"/><Relationship Id="rId2" Type="http://schemas.openxmlformats.org/officeDocument/2006/relationships/comments" Target="../comments51.xml"/><Relationship Id="rId1" Type="http://schemas.openxmlformats.org/officeDocument/2006/relationships/vmlDrawing" Target="../drawings/vmlDrawing51.vml"/></Relationships>
</file>

<file path=xl/worksheets/_rels/sheet55.xml.rels><?xml version="1.0" encoding="UTF-8" standalone="yes"?>
<Relationships xmlns="http://schemas.openxmlformats.org/package/2006/relationships"><Relationship Id="rId3" Type="http://schemas.microsoft.com/office/2017/10/relationships/threadedComment" Target="../threadedComments/threadedComment52.xml"/><Relationship Id="rId2" Type="http://schemas.openxmlformats.org/officeDocument/2006/relationships/comments" Target="../comments52.xml"/><Relationship Id="rId1" Type="http://schemas.openxmlformats.org/officeDocument/2006/relationships/vmlDrawing" Target="../drawings/vmlDrawing52.vml"/></Relationships>
</file>

<file path=xl/worksheets/_rels/sheet56.xml.rels><?xml version="1.0" encoding="UTF-8" standalone="yes"?>
<Relationships xmlns="http://schemas.openxmlformats.org/package/2006/relationships"><Relationship Id="rId3" Type="http://schemas.microsoft.com/office/2017/10/relationships/threadedComment" Target="../threadedComments/threadedComment53.xml"/><Relationship Id="rId2" Type="http://schemas.openxmlformats.org/officeDocument/2006/relationships/comments" Target="../comments53.xml"/><Relationship Id="rId1" Type="http://schemas.openxmlformats.org/officeDocument/2006/relationships/vmlDrawing" Target="../drawings/vmlDrawing53.vml"/></Relationships>
</file>

<file path=xl/worksheets/_rels/sheet57.xml.rels><?xml version="1.0" encoding="UTF-8" standalone="yes"?>
<Relationships xmlns="http://schemas.openxmlformats.org/package/2006/relationships"><Relationship Id="rId3" Type="http://schemas.microsoft.com/office/2017/10/relationships/threadedComment" Target="../threadedComments/threadedComment54.xml"/><Relationship Id="rId2" Type="http://schemas.openxmlformats.org/officeDocument/2006/relationships/comments" Target="../comments54.xml"/><Relationship Id="rId1" Type="http://schemas.openxmlformats.org/officeDocument/2006/relationships/vmlDrawing" Target="../drawings/vmlDrawing54.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7449A-AE42-E241-8676-CF6BEB6450F4}">
  <sheetPr codeName="Sheet1"/>
  <dimension ref="A1:K806"/>
  <sheetViews>
    <sheetView topLeftCell="C1" workbookViewId="0">
      <selection activeCell="F817" sqref="F817"/>
    </sheetView>
  </sheetViews>
  <sheetFormatPr baseColWidth="10" defaultRowHeight="16"/>
  <cols>
    <col min="2" max="2" width="19.1640625" customWidth="1"/>
    <col min="3" max="3" width="64.83203125" customWidth="1"/>
    <col min="6" max="6" width="28.83203125" customWidth="1"/>
    <col min="11" max="11" width="87.5" customWidth="1"/>
  </cols>
  <sheetData>
    <row r="1" spans="1:11">
      <c r="A1" t="s">
        <v>1526</v>
      </c>
    </row>
    <row r="2" spans="1:11">
      <c r="A2" t="s">
        <v>0</v>
      </c>
    </row>
    <row r="3" spans="1:11">
      <c r="A3" t="s">
        <v>1527</v>
      </c>
    </row>
    <row r="4" spans="1:11">
      <c r="A4" t="s">
        <v>1</v>
      </c>
    </row>
    <row r="5" spans="1:11">
      <c r="A5" t="s">
        <v>2</v>
      </c>
      <c r="B5" s="19" t="s">
        <v>1513</v>
      </c>
      <c r="C5" t="s">
        <v>3</v>
      </c>
      <c r="D5" t="s">
        <v>4</v>
      </c>
      <c r="E5" t="s">
        <v>5</v>
      </c>
      <c r="F5" t="s">
        <v>6</v>
      </c>
      <c r="G5" t="s">
        <v>7</v>
      </c>
      <c r="H5" t="s">
        <v>8</v>
      </c>
      <c r="I5" t="s">
        <v>9</v>
      </c>
      <c r="J5" t="s">
        <v>10</v>
      </c>
      <c r="K5" t="s">
        <v>11</v>
      </c>
    </row>
    <row r="6" spans="1:11">
      <c r="A6" t="s">
        <v>67</v>
      </c>
      <c r="B6" t="str">
        <f>C6&amp;D6</f>
        <v>Wikirate International e.V.+Supplier audits50Hertz Transmission</v>
      </c>
      <c r="C6" t="s">
        <v>13</v>
      </c>
      <c r="D6" t="s">
        <v>68</v>
      </c>
      <c r="E6">
        <v>2024</v>
      </c>
      <c r="F6" t="s">
        <v>15</v>
      </c>
      <c r="G6" t="s">
        <v>69</v>
      </c>
      <c r="H6">
        <v>22246142</v>
      </c>
      <c r="J6">
        <v>1</v>
      </c>
    </row>
    <row r="7" spans="1:11">
      <c r="A7" t="s">
        <v>1393</v>
      </c>
      <c r="B7" t="str">
        <f t="shared" ref="B7:B70" si="0">C7&amp;D7</f>
        <v>Wikirate International e.V.+Supplier auditsHensoldt AG</v>
      </c>
      <c r="C7" t="s">
        <v>13</v>
      </c>
      <c r="D7" t="s">
        <v>208</v>
      </c>
      <c r="E7">
        <v>2024</v>
      </c>
      <c r="F7" t="s">
        <v>15</v>
      </c>
      <c r="G7" t="s">
        <v>297</v>
      </c>
      <c r="H7">
        <v>22218250</v>
      </c>
      <c r="J7">
        <v>1</v>
      </c>
      <c r="K7" t="s">
        <v>1394</v>
      </c>
    </row>
    <row r="8" spans="1:11">
      <c r="A8" t="s">
        <v>1395</v>
      </c>
      <c r="B8" t="str">
        <f t="shared" si="0"/>
        <v>Wikirate International e.V.+Supplier auditsD√ºrr Group</v>
      </c>
      <c r="C8" t="s">
        <v>13</v>
      </c>
      <c r="D8" t="s">
        <v>191</v>
      </c>
      <c r="E8">
        <v>2024</v>
      </c>
      <c r="F8" t="s">
        <v>15</v>
      </c>
      <c r="G8" t="s">
        <v>299</v>
      </c>
      <c r="H8">
        <v>22218537</v>
      </c>
      <c r="I8" t="s">
        <v>300</v>
      </c>
      <c r="J8">
        <v>1</v>
      </c>
      <c r="K8" t="s">
        <v>1396</v>
      </c>
    </row>
    <row r="9" spans="1:11">
      <c r="A9" t="s">
        <v>1397</v>
      </c>
      <c r="B9" t="str">
        <f t="shared" si="0"/>
        <v>Wikirate International e.V.+Supplier auditsBASF SE</v>
      </c>
      <c r="C9" t="s">
        <v>13</v>
      </c>
      <c r="D9" t="s">
        <v>108</v>
      </c>
      <c r="E9">
        <v>2024</v>
      </c>
      <c r="F9" t="s">
        <v>15</v>
      </c>
      <c r="G9" t="s">
        <v>339</v>
      </c>
      <c r="H9">
        <v>22218762</v>
      </c>
      <c r="I9" t="s">
        <v>340</v>
      </c>
      <c r="J9">
        <v>1</v>
      </c>
      <c r="K9" t="s">
        <v>1528</v>
      </c>
    </row>
    <row r="10" spans="1:11">
      <c r="A10" t="s">
        <v>1398</v>
      </c>
      <c r="B10" t="str">
        <f t="shared" si="0"/>
        <v>Wikirate International e.V.+Supplier auditsHELLA GMBH &amp; CO. KGAA</v>
      </c>
      <c r="C10" t="s">
        <v>13</v>
      </c>
      <c r="D10" t="s">
        <v>187</v>
      </c>
      <c r="E10">
        <v>2024</v>
      </c>
      <c r="F10" t="s">
        <v>15</v>
      </c>
      <c r="G10" t="s">
        <v>384</v>
      </c>
      <c r="H10">
        <v>22218865</v>
      </c>
      <c r="J10">
        <v>1</v>
      </c>
      <c r="K10" t="s">
        <v>1399</v>
      </c>
    </row>
    <row r="11" spans="1:11">
      <c r="A11" t="s">
        <v>1400</v>
      </c>
      <c r="B11" t="str">
        <f t="shared" si="0"/>
        <v>Wikirate International e.V.+Supplier auditsDeere &amp; Co</v>
      </c>
      <c r="C11" t="s">
        <v>13</v>
      </c>
      <c r="D11" t="s">
        <v>197</v>
      </c>
      <c r="E11">
        <v>2024</v>
      </c>
      <c r="F11" t="s">
        <v>15</v>
      </c>
      <c r="G11" t="s">
        <v>303</v>
      </c>
      <c r="H11">
        <v>22218964</v>
      </c>
      <c r="J11">
        <v>1</v>
      </c>
      <c r="K11" t="s">
        <v>1401</v>
      </c>
    </row>
    <row r="12" spans="1:11">
      <c r="A12" t="s">
        <v>1402</v>
      </c>
      <c r="B12" t="str">
        <f t="shared" si="0"/>
        <v>Wikirate International e.V.+Supplier auditsAmprion GmbH</v>
      </c>
      <c r="C12" t="s">
        <v>13</v>
      </c>
      <c r="D12" t="s">
        <v>182</v>
      </c>
      <c r="E12">
        <v>2024</v>
      </c>
      <c r="F12" t="s">
        <v>21</v>
      </c>
      <c r="G12" t="s">
        <v>389</v>
      </c>
      <c r="H12">
        <v>22219038</v>
      </c>
      <c r="J12">
        <v>1</v>
      </c>
    </row>
    <row r="13" spans="1:11">
      <c r="A13" t="s">
        <v>1403</v>
      </c>
      <c r="B13" t="str">
        <f t="shared" si="0"/>
        <v>Wikirate International e.V.+Supplier auditsBoehringer Ingelheim GmbH</v>
      </c>
      <c r="C13" t="s">
        <v>13</v>
      </c>
      <c r="D13" t="s">
        <v>201</v>
      </c>
      <c r="E13">
        <v>2024</v>
      </c>
      <c r="F13" t="s">
        <v>21</v>
      </c>
      <c r="G13" t="s">
        <v>306</v>
      </c>
      <c r="H13">
        <v>22219162</v>
      </c>
      <c r="J13">
        <v>1</v>
      </c>
    </row>
    <row r="14" spans="1:11">
      <c r="A14" t="s">
        <v>86</v>
      </c>
      <c r="B14" t="str">
        <f t="shared" si="0"/>
        <v>Wikirate International e.V.+Supplier auditsBayer AG</v>
      </c>
      <c r="C14" t="s">
        <v>13</v>
      </c>
      <c r="D14" t="s">
        <v>87</v>
      </c>
      <c r="E14">
        <v>2024</v>
      </c>
      <c r="F14" t="s">
        <v>15</v>
      </c>
      <c r="G14" t="s">
        <v>88</v>
      </c>
      <c r="H14">
        <v>22219239</v>
      </c>
      <c r="J14">
        <v>1</v>
      </c>
      <c r="K14" t="s">
        <v>89</v>
      </c>
    </row>
    <row r="15" spans="1:11">
      <c r="A15" t="s">
        <v>12</v>
      </c>
      <c r="B15" t="str">
        <f t="shared" si="0"/>
        <v>Wikirate International e.V.+Supplier auditsRWE Group</v>
      </c>
      <c r="C15" t="s">
        <v>13</v>
      </c>
      <c r="D15" t="s">
        <v>14</v>
      </c>
      <c r="E15">
        <v>2024</v>
      </c>
      <c r="F15" t="s">
        <v>15</v>
      </c>
      <c r="G15" t="s">
        <v>16</v>
      </c>
      <c r="H15">
        <v>22219331</v>
      </c>
      <c r="I15" t="s">
        <v>17</v>
      </c>
      <c r="J15">
        <v>1</v>
      </c>
      <c r="K15" t="s">
        <v>18</v>
      </c>
    </row>
    <row r="16" spans="1:11">
      <c r="A16" t="s">
        <v>82</v>
      </c>
      <c r="B16" t="str">
        <f t="shared" si="0"/>
        <v>Wikirate International e.V.+Supplier auditsUniper SE</v>
      </c>
      <c r="C16" t="s">
        <v>13</v>
      </c>
      <c r="D16" t="s">
        <v>83</v>
      </c>
      <c r="E16">
        <v>2024</v>
      </c>
      <c r="F16" t="s">
        <v>15</v>
      </c>
      <c r="G16" t="s">
        <v>84</v>
      </c>
      <c r="H16">
        <v>22219903</v>
      </c>
      <c r="J16">
        <v>1</v>
      </c>
      <c r="K16" t="s">
        <v>85</v>
      </c>
    </row>
    <row r="17" spans="1:11">
      <c r="A17" t="s">
        <v>78</v>
      </c>
      <c r="B17" t="str">
        <f t="shared" si="0"/>
        <v>Wikirate International e.V.+Supplier auditsRheinmetall AG</v>
      </c>
      <c r="C17" t="s">
        <v>13</v>
      </c>
      <c r="D17" t="s">
        <v>79</v>
      </c>
      <c r="E17">
        <v>2024</v>
      </c>
      <c r="F17" t="s">
        <v>15</v>
      </c>
      <c r="G17" t="s">
        <v>80</v>
      </c>
      <c r="H17">
        <v>22219909</v>
      </c>
      <c r="J17">
        <v>1</v>
      </c>
      <c r="K17" t="s">
        <v>81</v>
      </c>
    </row>
    <row r="18" spans="1:11">
      <c r="A18" t="s">
        <v>73</v>
      </c>
      <c r="B18" t="str">
        <f t="shared" si="0"/>
        <v>Wikirate International e.V.+Supplier auditsAirbus Group</v>
      </c>
      <c r="C18" t="s">
        <v>13</v>
      </c>
      <c r="D18" t="s">
        <v>74</v>
      </c>
      <c r="E18">
        <v>2024</v>
      </c>
      <c r="F18" t="s">
        <v>15</v>
      </c>
      <c r="G18" t="s">
        <v>75</v>
      </c>
      <c r="H18">
        <v>22245921</v>
      </c>
      <c r="I18" t="s">
        <v>76</v>
      </c>
      <c r="J18">
        <v>1</v>
      </c>
      <c r="K18" t="s">
        <v>77</v>
      </c>
    </row>
    <row r="19" spans="1:11">
      <c r="A19" t="s">
        <v>70</v>
      </c>
      <c r="B19" t="str">
        <f t="shared" si="0"/>
        <v>Wikirate International e.V.+Supplier auditsSiemens Energy AG</v>
      </c>
      <c r="C19" t="s">
        <v>13</v>
      </c>
      <c r="D19" t="s">
        <v>71</v>
      </c>
      <c r="E19">
        <v>2024</v>
      </c>
      <c r="F19" t="s">
        <v>21</v>
      </c>
      <c r="G19" t="s">
        <v>72</v>
      </c>
      <c r="H19">
        <v>22246061</v>
      </c>
      <c r="J19">
        <v>1</v>
      </c>
    </row>
    <row r="20" spans="1:11">
      <c r="A20" t="s">
        <v>1349</v>
      </c>
      <c r="B20" t="str">
        <f t="shared" si="0"/>
        <v>Wikirate International e.V.+Lobbying budget disclosedGelsenwasser</v>
      </c>
      <c r="C20" t="s">
        <v>1280</v>
      </c>
      <c r="D20" t="s">
        <v>29</v>
      </c>
      <c r="E20">
        <v>2024</v>
      </c>
      <c r="F20" t="s">
        <v>21</v>
      </c>
      <c r="G20" t="s">
        <v>30</v>
      </c>
      <c r="H20">
        <v>22247832</v>
      </c>
      <c r="J20">
        <v>1</v>
      </c>
      <c r="K20" t="s">
        <v>1529</v>
      </c>
    </row>
    <row r="21" spans="1:11">
      <c r="A21" t="s">
        <v>64</v>
      </c>
      <c r="B21" t="str">
        <f t="shared" si="0"/>
        <v>Wikirate International e.V.+Supplier auditsKION Group</v>
      </c>
      <c r="C21" t="s">
        <v>13</v>
      </c>
      <c r="D21" t="s">
        <v>65</v>
      </c>
      <c r="E21">
        <v>2024</v>
      </c>
      <c r="F21" t="s">
        <v>15</v>
      </c>
      <c r="G21" t="s">
        <v>66</v>
      </c>
      <c r="H21">
        <v>22246353</v>
      </c>
      <c r="J21">
        <v>1</v>
      </c>
      <c r="K21" t="s">
        <v>1530</v>
      </c>
    </row>
    <row r="22" spans="1:11">
      <c r="A22" t="s">
        <v>60</v>
      </c>
      <c r="B22" t="str">
        <f t="shared" si="0"/>
        <v>Wikirate International e.V.+Supplier auditsStadtwerke Munchen GmbH</v>
      </c>
      <c r="C22" t="s">
        <v>13</v>
      </c>
      <c r="D22" t="s">
        <v>61</v>
      </c>
      <c r="E22">
        <v>2024</v>
      </c>
      <c r="F22" t="s">
        <v>15</v>
      </c>
      <c r="G22" t="s">
        <v>62</v>
      </c>
      <c r="H22">
        <v>22246437</v>
      </c>
      <c r="J22">
        <v>1</v>
      </c>
      <c r="K22" t="s">
        <v>63</v>
      </c>
    </row>
    <row r="23" spans="1:11">
      <c r="A23" t="s">
        <v>56</v>
      </c>
      <c r="B23" t="str">
        <f t="shared" si="0"/>
        <v>Wikirate International e.V.+Supplier auditsE.ON SE</v>
      </c>
      <c r="C23" t="s">
        <v>13</v>
      </c>
      <c r="D23" t="s">
        <v>57</v>
      </c>
      <c r="E23">
        <v>2024</v>
      </c>
      <c r="F23" t="s">
        <v>15</v>
      </c>
      <c r="G23" t="s">
        <v>58</v>
      </c>
      <c r="H23">
        <v>22246470</v>
      </c>
      <c r="J23">
        <v>1</v>
      </c>
      <c r="K23" t="s">
        <v>59</v>
      </c>
    </row>
    <row r="24" spans="1:11">
      <c r="A24" t="s">
        <v>52</v>
      </c>
      <c r="B24" t="str">
        <f t="shared" si="0"/>
        <v>Wikirate International e.V.+Supplier auditsDiehl Stiftung &amp; Co. KG</v>
      </c>
      <c r="C24" t="s">
        <v>13</v>
      </c>
      <c r="D24" t="s">
        <v>53</v>
      </c>
      <c r="E24">
        <v>2024</v>
      </c>
      <c r="F24" t="s">
        <v>15</v>
      </c>
      <c r="G24" t="s">
        <v>54</v>
      </c>
      <c r="H24">
        <v>22246674</v>
      </c>
      <c r="J24">
        <v>1</v>
      </c>
      <c r="K24" t="s">
        <v>55</v>
      </c>
    </row>
    <row r="25" spans="1:11">
      <c r="A25" t="s">
        <v>48</v>
      </c>
      <c r="B25" t="str">
        <f t="shared" si="0"/>
        <v>Wikirate International e.V.+Supplier auditsMerck KGaA</v>
      </c>
      <c r="C25" t="s">
        <v>13</v>
      </c>
      <c r="D25" t="s">
        <v>49</v>
      </c>
      <c r="E25">
        <v>2024</v>
      </c>
      <c r="F25" t="s">
        <v>15</v>
      </c>
      <c r="G25" t="s">
        <v>50</v>
      </c>
      <c r="H25">
        <v>22246810</v>
      </c>
      <c r="J25">
        <v>1</v>
      </c>
      <c r="K25" t="s">
        <v>51</v>
      </c>
    </row>
    <row r="26" spans="1:11">
      <c r="A26" t="s">
        <v>44</v>
      </c>
      <c r="B26" t="str">
        <f t="shared" si="0"/>
        <v>Wikirate International e.V.+Supplier auditsEvonik</v>
      </c>
      <c r="C26" t="s">
        <v>13</v>
      </c>
      <c r="D26" t="s">
        <v>45</v>
      </c>
      <c r="E26">
        <v>2024</v>
      </c>
      <c r="F26" t="s">
        <v>15</v>
      </c>
      <c r="G26" t="s">
        <v>46</v>
      </c>
      <c r="H26">
        <v>22246951</v>
      </c>
      <c r="J26">
        <v>1</v>
      </c>
      <c r="K26" t="s">
        <v>47</v>
      </c>
    </row>
    <row r="27" spans="1:11">
      <c r="A27" t="s">
        <v>41</v>
      </c>
      <c r="B27" t="str">
        <f t="shared" si="0"/>
        <v>Wikirate International e.V.+Supplier auditsKNDS Group</v>
      </c>
      <c r="C27" t="s">
        <v>13</v>
      </c>
      <c r="D27" t="s">
        <v>42</v>
      </c>
      <c r="E27">
        <v>2024</v>
      </c>
      <c r="F27" t="s">
        <v>21</v>
      </c>
      <c r="G27" t="s">
        <v>43</v>
      </c>
      <c r="H27">
        <v>22247055</v>
      </c>
      <c r="J27">
        <v>1</v>
      </c>
    </row>
    <row r="28" spans="1:11">
      <c r="A28" t="s">
        <v>37</v>
      </c>
      <c r="B28" t="str">
        <f t="shared" si="0"/>
        <v>Wikirate International e.V.+Supplier auditsLockheed Martin</v>
      </c>
      <c r="C28" t="s">
        <v>13</v>
      </c>
      <c r="D28" t="s">
        <v>38</v>
      </c>
      <c r="E28">
        <v>2024</v>
      </c>
      <c r="F28" t="s">
        <v>21</v>
      </c>
      <c r="G28" t="s">
        <v>39</v>
      </c>
      <c r="H28">
        <v>22247136</v>
      </c>
      <c r="J28">
        <v>1</v>
      </c>
      <c r="K28" t="s">
        <v>40</v>
      </c>
    </row>
    <row r="29" spans="1:11">
      <c r="A29" t="s">
        <v>32</v>
      </c>
      <c r="B29" t="str">
        <f t="shared" si="0"/>
        <v>Wikirate International e.V.+Supplier auditsLeonardo</v>
      </c>
      <c r="C29" t="s">
        <v>13</v>
      </c>
      <c r="D29" t="s">
        <v>33</v>
      </c>
      <c r="E29">
        <v>2024</v>
      </c>
      <c r="F29" t="s">
        <v>15</v>
      </c>
      <c r="G29" t="s">
        <v>34</v>
      </c>
      <c r="H29">
        <v>22247414</v>
      </c>
      <c r="I29" t="s">
        <v>35</v>
      </c>
      <c r="J29">
        <v>1</v>
      </c>
      <c r="K29" t="s">
        <v>36</v>
      </c>
    </row>
    <row r="30" spans="1:11">
      <c r="A30" t="s">
        <v>28</v>
      </c>
      <c r="B30" t="str">
        <f t="shared" si="0"/>
        <v>Wikirate International e.V.+Supplier auditsGelsenwasser</v>
      </c>
      <c r="C30" t="s">
        <v>13</v>
      </c>
      <c r="D30" t="s">
        <v>29</v>
      </c>
      <c r="E30">
        <v>2024</v>
      </c>
      <c r="F30" t="s">
        <v>21</v>
      </c>
      <c r="G30" t="s">
        <v>30</v>
      </c>
      <c r="H30">
        <v>22247846</v>
      </c>
      <c r="J30">
        <v>1</v>
      </c>
      <c r="K30" t="s">
        <v>31</v>
      </c>
    </row>
    <row r="31" spans="1:11">
      <c r="A31" t="s">
        <v>23</v>
      </c>
      <c r="B31" t="str">
        <f t="shared" si="0"/>
        <v>Wikirate International e.V.+Supplier auditsWacker Chemie</v>
      </c>
      <c r="C31" t="s">
        <v>13</v>
      </c>
      <c r="D31" t="s">
        <v>24</v>
      </c>
      <c r="E31">
        <v>2024</v>
      </c>
      <c r="F31" t="s">
        <v>15</v>
      </c>
      <c r="G31" t="s">
        <v>25</v>
      </c>
      <c r="H31">
        <v>22249961</v>
      </c>
      <c r="I31" t="s">
        <v>26</v>
      </c>
      <c r="J31">
        <v>1</v>
      </c>
      <c r="K31" t="s">
        <v>27</v>
      </c>
    </row>
    <row r="32" spans="1:11">
      <c r="A32" t="s">
        <v>19</v>
      </c>
      <c r="B32" t="str">
        <f t="shared" si="0"/>
        <v>Wikirate International e.V.+Supplier auditsTh√ºga Holding</v>
      </c>
      <c r="C32" t="s">
        <v>13</v>
      </c>
      <c r="D32" t="s">
        <v>20</v>
      </c>
      <c r="E32">
        <v>2024</v>
      </c>
      <c r="F32" t="s">
        <v>21</v>
      </c>
      <c r="G32" t="s">
        <v>1531</v>
      </c>
      <c r="H32">
        <v>22250819</v>
      </c>
      <c r="J32">
        <v>1</v>
      </c>
    </row>
    <row r="33" spans="1:11">
      <c r="A33" t="s">
        <v>1389</v>
      </c>
      <c r="B33" t="str">
        <f t="shared" si="0"/>
        <v>Wikirate International e.V.+Supplier auditsHenkel AG &amp; Co. KGaA</v>
      </c>
      <c r="C33" t="s">
        <v>13</v>
      </c>
      <c r="D33" t="s">
        <v>172</v>
      </c>
      <c r="E33">
        <v>2024</v>
      </c>
      <c r="F33" t="s">
        <v>15</v>
      </c>
      <c r="G33" t="s">
        <v>374</v>
      </c>
      <c r="H33">
        <v>22211743</v>
      </c>
      <c r="I33" t="s">
        <v>375</v>
      </c>
      <c r="J33">
        <v>1</v>
      </c>
      <c r="K33" t="s">
        <v>1390</v>
      </c>
    </row>
    <row r="34" spans="1:11">
      <c r="A34" t="s">
        <v>1350</v>
      </c>
      <c r="B34" t="str">
        <f t="shared" si="0"/>
        <v>Wikirate International e.V.+Lobbying budget disclosedWacker Chemie</v>
      </c>
      <c r="C34" t="s">
        <v>1280</v>
      </c>
      <c r="D34" t="s">
        <v>24</v>
      </c>
      <c r="E34">
        <v>2024</v>
      </c>
      <c r="F34" t="s">
        <v>21</v>
      </c>
      <c r="G34" t="s">
        <v>25</v>
      </c>
      <c r="H34">
        <v>22249943</v>
      </c>
      <c r="I34" t="s">
        <v>26</v>
      </c>
      <c r="J34">
        <v>1</v>
      </c>
      <c r="K34" t="s">
        <v>1351</v>
      </c>
    </row>
    <row r="35" spans="1:11">
      <c r="A35" t="s">
        <v>1352</v>
      </c>
      <c r="B35" t="str">
        <f t="shared" si="0"/>
        <v>Wikirate International e.V.+Lobbying budget disclosedTh√ºga Holding</v>
      </c>
      <c r="C35" t="s">
        <v>1280</v>
      </c>
      <c r="D35" t="s">
        <v>20</v>
      </c>
      <c r="E35">
        <v>2024</v>
      </c>
      <c r="F35" t="s">
        <v>21</v>
      </c>
      <c r="G35" t="s">
        <v>1531</v>
      </c>
      <c r="H35">
        <v>22250809</v>
      </c>
      <c r="J35">
        <v>1</v>
      </c>
      <c r="K35" t="s">
        <v>1532</v>
      </c>
    </row>
    <row r="36" spans="1:11">
      <c r="A36" t="s">
        <v>1353</v>
      </c>
      <c r="B36" t="str">
        <f t="shared" si="0"/>
        <v>Wikirate International e.V.+Supplier auditsMercedes-Benz AG</v>
      </c>
      <c r="C36" t="s">
        <v>13</v>
      </c>
      <c r="D36" t="s">
        <v>102</v>
      </c>
      <c r="E36">
        <v>2024</v>
      </c>
      <c r="F36" t="s">
        <v>15</v>
      </c>
      <c r="G36" t="s">
        <v>249</v>
      </c>
      <c r="H36">
        <v>22197852</v>
      </c>
      <c r="I36" t="s">
        <v>250</v>
      </c>
      <c r="J36">
        <v>1</v>
      </c>
      <c r="K36" t="s">
        <v>1354</v>
      </c>
    </row>
    <row r="37" spans="1:11">
      <c r="A37" t="s">
        <v>1355</v>
      </c>
      <c r="B37" t="str">
        <f t="shared" si="0"/>
        <v>Wikirate International e.V.+Supplier auditsVolkswagen AG</v>
      </c>
      <c r="C37" t="s">
        <v>13</v>
      </c>
      <c r="D37" t="s">
        <v>112</v>
      </c>
      <c r="E37">
        <v>2024</v>
      </c>
      <c r="F37" t="s">
        <v>15</v>
      </c>
      <c r="G37" t="s">
        <v>342</v>
      </c>
      <c r="H37">
        <v>22204289</v>
      </c>
      <c r="I37" t="s">
        <v>343</v>
      </c>
      <c r="J37">
        <v>1</v>
      </c>
      <c r="K37" t="s">
        <v>1356</v>
      </c>
    </row>
    <row r="38" spans="1:11">
      <c r="A38" t="s">
        <v>1357</v>
      </c>
      <c r="B38" t="str">
        <f t="shared" si="0"/>
        <v>Wikirate International e.V.+Supplier auditsBMW AG</v>
      </c>
      <c r="C38" t="s">
        <v>13</v>
      </c>
      <c r="D38" t="s">
        <v>92</v>
      </c>
      <c r="E38">
        <v>2024</v>
      </c>
      <c r="F38" t="s">
        <v>15</v>
      </c>
      <c r="G38" t="s">
        <v>497</v>
      </c>
      <c r="H38">
        <v>22204520</v>
      </c>
      <c r="I38" t="s">
        <v>498</v>
      </c>
      <c r="J38">
        <v>1</v>
      </c>
      <c r="K38" t="s">
        <v>1358</v>
      </c>
    </row>
    <row r="39" spans="1:11">
      <c r="A39" t="s">
        <v>1359</v>
      </c>
      <c r="B39" t="str">
        <f t="shared" si="0"/>
        <v>Wikirate International e.V.+Supplier auditsJenoptik AG</v>
      </c>
      <c r="C39" t="s">
        <v>13</v>
      </c>
      <c r="D39" t="s">
        <v>123</v>
      </c>
      <c r="E39">
        <v>2024</v>
      </c>
      <c r="F39" t="s">
        <v>15</v>
      </c>
      <c r="G39" t="s">
        <v>261</v>
      </c>
      <c r="H39">
        <v>22205831</v>
      </c>
      <c r="J39">
        <v>1</v>
      </c>
      <c r="K39" t="s">
        <v>1360</v>
      </c>
    </row>
    <row r="40" spans="1:11">
      <c r="A40" t="s">
        <v>1361</v>
      </c>
      <c r="B40" t="str">
        <f t="shared" si="0"/>
        <v>Wikirate International e.V.+Supplier auditsContinental AG</v>
      </c>
      <c r="C40" t="s">
        <v>13</v>
      </c>
      <c r="D40" t="s">
        <v>126</v>
      </c>
      <c r="E40">
        <v>2024</v>
      </c>
      <c r="F40" t="s">
        <v>15</v>
      </c>
      <c r="G40" t="s">
        <v>353</v>
      </c>
      <c r="H40">
        <v>22205853</v>
      </c>
      <c r="I40" t="s">
        <v>354</v>
      </c>
      <c r="J40">
        <v>1</v>
      </c>
      <c r="K40" t="s">
        <v>1362</v>
      </c>
    </row>
    <row r="41" spans="1:11">
      <c r="A41" t="s">
        <v>1363</v>
      </c>
      <c r="B41" t="str">
        <f t="shared" si="0"/>
        <v>Wikirate International e.V.+Supplier auditsHelm AG</v>
      </c>
      <c r="C41" t="s">
        <v>13</v>
      </c>
      <c r="D41" t="s">
        <v>132</v>
      </c>
      <c r="E41">
        <v>2024</v>
      </c>
      <c r="F41" t="s">
        <v>15</v>
      </c>
      <c r="G41" t="s">
        <v>268</v>
      </c>
      <c r="H41">
        <v>22206373</v>
      </c>
      <c r="J41">
        <v>1</v>
      </c>
      <c r="K41" t="s">
        <v>1364</v>
      </c>
    </row>
    <row r="42" spans="1:11">
      <c r="A42" t="s">
        <v>1365</v>
      </c>
      <c r="B42" t="str">
        <f t="shared" si="0"/>
        <v>Wikirate International e.V.+Supplier auditsThyssenKrupp Group</v>
      </c>
      <c r="C42" t="s">
        <v>13</v>
      </c>
      <c r="D42" t="s">
        <v>129</v>
      </c>
      <c r="E42">
        <v>2024</v>
      </c>
      <c r="F42" t="s">
        <v>21</v>
      </c>
      <c r="G42" t="s">
        <v>265</v>
      </c>
      <c r="H42">
        <v>22206579</v>
      </c>
      <c r="I42" t="s">
        <v>266</v>
      </c>
      <c r="J42">
        <v>1</v>
      </c>
    </row>
    <row r="43" spans="1:11">
      <c r="A43" t="s">
        <v>1366</v>
      </c>
      <c r="B43" t="str">
        <f t="shared" si="0"/>
        <v>Wikirate International e.V.+Supplier auditsSiemens AG</v>
      </c>
      <c r="C43" t="s">
        <v>13</v>
      </c>
      <c r="D43" t="s">
        <v>148</v>
      </c>
      <c r="E43">
        <v>2024</v>
      </c>
      <c r="F43" t="s">
        <v>15</v>
      </c>
      <c r="G43" t="s">
        <v>270</v>
      </c>
      <c r="H43">
        <v>22207072</v>
      </c>
      <c r="J43">
        <v>1</v>
      </c>
      <c r="K43" t="s">
        <v>1367</v>
      </c>
    </row>
    <row r="44" spans="1:11">
      <c r="A44" t="s">
        <v>1368</v>
      </c>
      <c r="B44" t="str">
        <f t="shared" si="0"/>
        <v>Wikirate International e.V.+Supplier auditsSchaeffler Technologies</v>
      </c>
      <c r="C44" t="s">
        <v>13</v>
      </c>
      <c r="D44" t="s">
        <v>1618</v>
      </c>
      <c r="E44">
        <v>2024</v>
      </c>
      <c r="F44" t="s">
        <v>15</v>
      </c>
      <c r="G44" t="s">
        <v>281</v>
      </c>
      <c r="H44">
        <v>22207083</v>
      </c>
      <c r="J44">
        <v>1</v>
      </c>
      <c r="K44" t="s">
        <v>1369</v>
      </c>
    </row>
    <row r="45" spans="1:11">
      <c r="A45" t="s">
        <v>1370</v>
      </c>
      <c r="B45" t="str">
        <f t="shared" si="0"/>
        <v>Wikirate International e.V.+Supplier auditsRobert Bosch GmbH</v>
      </c>
      <c r="C45" t="s">
        <v>13</v>
      </c>
      <c r="D45" t="s">
        <v>138</v>
      </c>
      <c r="E45">
        <v>2024</v>
      </c>
      <c r="F45" t="s">
        <v>15</v>
      </c>
      <c r="G45" t="s">
        <v>273</v>
      </c>
      <c r="H45">
        <v>22208637</v>
      </c>
      <c r="I45" t="s">
        <v>274</v>
      </c>
      <c r="J45">
        <v>1</v>
      </c>
      <c r="K45" t="s">
        <v>1371</v>
      </c>
    </row>
    <row r="46" spans="1:11">
      <c r="A46" t="s">
        <v>1372</v>
      </c>
      <c r="B46" t="str">
        <f t="shared" si="0"/>
        <v>Wikirate International e.V.+Supplier auditsGEA Group</v>
      </c>
      <c r="C46" t="s">
        <v>13</v>
      </c>
      <c r="D46" t="s">
        <v>135</v>
      </c>
      <c r="E46">
        <v>2024</v>
      </c>
      <c r="F46" t="s">
        <v>15</v>
      </c>
      <c r="G46" t="s">
        <v>360</v>
      </c>
      <c r="H46">
        <v>22208711</v>
      </c>
      <c r="J46">
        <v>1</v>
      </c>
      <c r="K46" t="s">
        <v>1373</v>
      </c>
    </row>
    <row r="47" spans="1:11">
      <c r="A47" t="s">
        <v>1374</v>
      </c>
      <c r="B47" t="str">
        <f t="shared" si="0"/>
        <v>Wikirate International e.V.+Supplier auditsMahle GmbH</v>
      </c>
      <c r="C47" t="s">
        <v>13</v>
      </c>
      <c r="D47" t="s">
        <v>142</v>
      </c>
      <c r="E47">
        <v>2024</v>
      </c>
      <c r="F47" t="s">
        <v>15</v>
      </c>
      <c r="G47" t="s">
        <v>276</v>
      </c>
      <c r="H47">
        <v>22208757</v>
      </c>
      <c r="J47">
        <v>1</v>
      </c>
      <c r="K47" t="s">
        <v>1375</v>
      </c>
    </row>
    <row r="48" spans="1:11">
      <c r="A48" t="s">
        <v>1376</v>
      </c>
      <c r="B48" t="str">
        <f t="shared" si="0"/>
        <v>Wikirate International e.V.+Supplier auditsVoith</v>
      </c>
      <c r="C48" t="s">
        <v>13</v>
      </c>
      <c r="D48" t="s">
        <v>145</v>
      </c>
      <c r="E48">
        <v>2024</v>
      </c>
      <c r="F48" t="s">
        <v>15</v>
      </c>
      <c r="G48" t="s">
        <v>278</v>
      </c>
      <c r="H48">
        <v>22209029</v>
      </c>
      <c r="I48" t="s">
        <v>279</v>
      </c>
      <c r="J48">
        <v>1</v>
      </c>
      <c r="K48" t="s">
        <v>1377</v>
      </c>
    </row>
    <row r="49" spans="1:11">
      <c r="A49" t="s">
        <v>1378</v>
      </c>
      <c r="B49" t="str">
        <f t="shared" si="0"/>
        <v>Wikirate International e.V.+Supplier auditsZF Friedrichshafen</v>
      </c>
      <c r="C49" t="s">
        <v>13</v>
      </c>
      <c r="D49" t="s">
        <v>152</v>
      </c>
      <c r="E49">
        <v>2024</v>
      </c>
      <c r="F49" t="s">
        <v>15</v>
      </c>
      <c r="G49" t="s">
        <v>283</v>
      </c>
      <c r="H49">
        <v>22209313</v>
      </c>
      <c r="J49">
        <v>1</v>
      </c>
      <c r="K49" t="s">
        <v>1379</v>
      </c>
    </row>
    <row r="50" spans="1:11">
      <c r="A50" t="s">
        <v>1380</v>
      </c>
      <c r="B50" t="str">
        <f t="shared" si="0"/>
        <v>Wikirate International e.V.+Supplier auditsJungheinrich AG</v>
      </c>
      <c r="C50" t="s">
        <v>13</v>
      </c>
      <c r="D50" t="s">
        <v>155</v>
      </c>
      <c r="E50">
        <v>2024</v>
      </c>
      <c r="F50" t="s">
        <v>21</v>
      </c>
      <c r="G50" t="s">
        <v>285</v>
      </c>
      <c r="H50">
        <v>22209450</v>
      </c>
      <c r="J50">
        <v>1</v>
      </c>
      <c r="K50" t="s">
        <v>1533</v>
      </c>
    </row>
    <row r="51" spans="1:11">
      <c r="A51" t="s">
        <v>1381</v>
      </c>
      <c r="B51" t="str">
        <f t="shared" si="0"/>
        <v>Wikirate International e.V.+Supplier auditsLanxess</v>
      </c>
      <c r="C51" t="s">
        <v>13</v>
      </c>
      <c r="D51" t="s">
        <v>194</v>
      </c>
      <c r="E51">
        <v>2024</v>
      </c>
      <c r="F51" t="s">
        <v>15</v>
      </c>
      <c r="G51" t="s">
        <v>287</v>
      </c>
      <c r="H51">
        <v>22210583</v>
      </c>
      <c r="J51">
        <v>1</v>
      </c>
      <c r="K51" t="s">
        <v>1382</v>
      </c>
    </row>
    <row r="52" spans="1:11">
      <c r="A52" t="s">
        <v>1383</v>
      </c>
      <c r="B52" t="str">
        <f t="shared" si="0"/>
        <v>Wikirate International e.V.+Supplier auditsCovestro</v>
      </c>
      <c r="C52" t="s">
        <v>13</v>
      </c>
      <c r="D52" t="s">
        <v>164</v>
      </c>
      <c r="E52">
        <v>2024</v>
      </c>
      <c r="F52" t="s">
        <v>15</v>
      </c>
      <c r="G52" t="s">
        <v>289</v>
      </c>
      <c r="H52">
        <v>22211294</v>
      </c>
      <c r="I52" t="s">
        <v>290</v>
      </c>
      <c r="J52">
        <v>1</v>
      </c>
      <c r="K52" t="s">
        <v>1384</v>
      </c>
    </row>
    <row r="53" spans="1:11">
      <c r="A53" t="s">
        <v>1385</v>
      </c>
      <c r="B53" t="str">
        <f t="shared" si="0"/>
        <v>Wikirate International e.V.+Supplier auditsDaimler Truck AG</v>
      </c>
      <c r="C53" t="s">
        <v>13</v>
      </c>
      <c r="D53" t="s">
        <v>118</v>
      </c>
      <c r="E53">
        <v>2024</v>
      </c>
      <c r="F53" t="s">
        <v>15</v>
      </c>
      <c r="G53" t="s">
        <v>119</v>
      </c>
      <c r="H53">
        <v>22211412</v>
      </c>
      <c r="I53" t="s">
        <v>120</v>
      </c>
      <c r="J53">
        <v>1</v>
      </c>
      <c r="K53" t="s">
        <v>1386</v>
      </c>
    </row>
    <row r="54" spans="1:11">
      <c r="A54" t="s">
        <v>1387</v>
      </c>
      <c r="B54" t="str">
        <f t="shared" si="0"/>
        <v>Wikirate International e.V.+Supplier auditsKrones AG</v>
      </c>
      <c r="C54" t="s">
        <v>13</v>
      </c>
      <c r="D54" t="s">
        <v>168</v>
      </c>
      <c r="E54">
        <v>2024</v>
      </c>
      <c r="F54" t="s">
        <v>15</v>
      </c>
      <c r="G54" t="s">
        <v>371</v>
      </c>
      <c r="H54">
        <v>22211636</v>
      </c>
      <c r="J54">
        <v>1</v>
      </c>
      <c r="K54" t="s">
        <v>1388</v>
      </c>
    </row>
    <row r="55" spans="1:11">
      <c r="A55" t="s">
        <v>1391</v>
      </c>
      <c r="B55" t="str">
        <f t="shared" si="0"/>
        <v>Wikirate International e.V.+Supplier auditsEnBW-Energie Baden-Wuerttemberg</v>
      </c>
      <c r="C55" t="s">
        <v>13</v>
      </c>
      <c r="D55" t="s">
        <v>177</v>
      </c>
      <c r="E55">
        <v>2024</v>
      </c>
      <c r="F55" t="s">
        <v>15</v>
      </c>
      <c r="G55" t="s">
        <v>377</v>
      </c>
      <c r="H55">
        <v>22218216</v>
      </c>
      <c r="J55">
        <v>1</v>
      </c>
      <c r="K55" t="s">
        <v>1392</v>
      </c>
    </row>
    <row r="56" spans="1:11">
      <c r="A56" t="s">
        <v>90</v>
      </c>
      <c r="B56" t="str">
        <f t="shared" si="0"/>
        <v>Wikirate International e.V.+Report discoverabilityBMW AG</v>
      </c>
      <c r="C56" t="s">
        <v>91</v>
      </c>
      <c r="D56" t="s">
        <v>92</v>
      </c>
      <c r="E56">
        <v>2024</v>
      </c>
      <c r="F56" t="s">
        <v>93</v>
      </c>
      <c r="G56" t="s">
        <v>94</v>
      </c>
      <c r="H56">
        <v>21483491</v>
      </c>
      <c r="J56">
        <v>2</v>
      </c>
    </row>
    <row r="57" spans="1:11">
      <c r="A57" t="s">
        <v>95</v>
      </c>
      <c r="B57" t="str">
        <f t="shared" si="0"/>
        <v>Wikirate International e.V.+Report discoverabilityAirbus Group</v>
      </c>
      <c r="C57" t="s">
        <v>91</v>
      </c>
      <c r="D57" t="s">
        <v>74</v>
      </c>
      <c r="E57">
        <v>2024</v>
      </c>
      <c r="F57" t="s">
        <v>96</v>
      </c>
      <c r="G57" t="s">
        <v>97</v>
      </c>
      <c r="H57">
        <v>21484322</v>
      </c>
      <c r="J57">
        <v>1</v>
      </c>
      <c r="K57" t="s">
        <v>98</v>
      </c>
    </row>
    <row r="58" spans="1:11">
      <c r="A58" t="s">
        <v>99</v>
      </c>
      <c r="B58" t="str">
        <f t="shared" si="0"/>
        <v>Wikirate International e.V.+Report discoverabilityRWE Group</v>
      </c>
      <c r="C58" t="s">
        <v>91</v>
      </c>
      <c r="D58" t="s">
        <v>14</v>
      </c>
      <c r="E58">
        <v>2024</v>
      </c>
      <c r="F58" t="s">
        <v>93</v>
      </c>
      <c r="G58" t="s">
        <v>100</v>
      </c>
      <c r="H58">
        <v>21484601</v>
      </c>
      <c r="J58">
        <v>2</v>
      </c>
    </row>
    <row r="59" spans="1:11">
      <c r="A59" t="s">
        <v>101</v>
      </c>
      <c r="B59" t="str">
        <f t="shared" si="0"/>
        <v>Wikirate International e.V.+Report discoverabilityMercedes-Benz AG</v>
      </c>
      <c r="C59" t="s">
        <v>91</v>
      </c>
      <c r="D59" t="s">
        <v>102</v>
      </c>
      <c r="E59">
        <v>2024</v>
      </c>
      <c r="F59" t="s">
        <v>93</v>
      </c>
      <c r="G59" t="s">
        <v>103</v>
      </c>
      <c r="H59">
        <v>21484651</v>
      </c>
      <c r="J59">
        <v>3</v>
      </c>
      <c r="K59" t="s">
        <v>104</v>
      </c>
    </row>
    <row r="60" spans="1:11">
      <c r="A60" t="s">
        <v>105</v>
      </c>
      <c r="B60" t="str">
        <f t="shared" si="0"/>
        <v>Wikirate International e.V.+Report discoverabilityBayer AG</v>
      </c>
      <c r="C60" t="s">
        <v>91</v>
      </c>
      <c r="D60" t="s">
        <v>87</v>
      </c>
      <c r="E60">
        <v>2024</v>
      </c>
      <c r="F60" t="s">
        <v>93</v>
      </c>
      <c r="G60" t="s">
        <v>106</v>
      </c>
      <c r="H60">
        <v>21484711</v>
      </c>
      <c r="J60">
        <v>2</v>
      </c>
    </row>
    <row r="61" spans="1:11">
      <c r="A61" t="s">
        <v>107</v>
      </c>
      <c r="B61" t="str">
        <f t="shared" si="0"/>
        <v>Wikirate International e.V.+Report discoverabilityBASF SE</v>
      </c>
      <c r="C61" t="s">
        <v>91</v>
      </c>
      <c r="D61" t="s">
        <v>108</v>
      </c>
      <c r="E61">
        <v>2024</v>
      </c>
      <c r="F61" t="s">
        <v>93</v>
      </c>
      <c r="G61" t="s">
        <v>109</v>
      </c>
      <c r="H61">
        <v>21484772</v>
      </c>
      <c r="J61">
        <v>2</v>
      </c>
      <c r="K61" t="s">
        <v>110</v>
      </c>
    </row>
    <row r="62" spans="1:11">
      <c r="A62" t="s">
        <v>111</v>
      </c>
      <c r="B62" t="str">
        <f t="shared" si="0"/>
        <v>Wikirate International e.V.+Report discoverabilityVolkswagen AG</v>
      </c>
      <c r="C62" t="s">
        <v>91</v>
      </c>
      <c r="D62" t="s">
        <v>112</v>
      </c>
      <c r="E62">
        <v>2024</v>
      </c>
      <c r="F62" t="s">
        <v>93</v>
      </c>
      <c r="G62" t="s">
        <v>113</v>
      </c>
      <c r="H62">
        <v>21485264</v>
      </c>
      <c r="J62">
        <v>2</v>
      </c>
    </row>
    <row r="63" spans="1:11">
      <c r="A63" t="s">
        <v>114</v>
      </c>
      <c r="B63" t="str">
        <f t="shared" si="0"/>
        <v>Wikirate International e.V.+Report discoverabilityE.ON SE</v>
      </c>
      <c r="C63" t="s">
        <v>91</v>
      </c>
      <c r="D63" t="s">
        <v>57</v>
      </c>
      <c r="E63">
        <v>2024</v>
      </c>
      <c r="F63" t="s">
        <v>96</v>
      </c>
      <c r="G63" t="s">
        <v>115</v>
      </c>
      <c r="H63">
        <v>21486490</v>
      </c>
      <c r="J63">
        <v>1</v>
      </c>
      <c r="K63" t="s">
        <v>116</v>
      </c>
    </row>
    <row r="64" spans="1:11">
      <c r="A64" t="s">
        <v>117</v>
      </c>
      <c r="B64" t="str">
        <f t="shared" si="0"/>
        <v>Wikirate International e.V.+Report discoverabilityDaimler Truck AG</v>
      </c>
      <c r="C64" t="s">
        <v>91</v>
      </c>
      <c r="D64" t="s">
        <v>118</v>
      </c>
      <c r="E64">
        <v>2024</v>
      </c>
      <c r="F64" t="s">
        <v>93</v>
      </c>
      <c r="G64" t="s">
        <v>119</v>
      </c>
      <c r="H64">
        <v>21487677</v>
      </c>
      <c r="I64" t="s">
        <v>120</v>
      </c>
      <c r="J64">
        <v>2</v>
      </c>
      <c r="K64" t="s">
        <v>121</v>
      </c>
    </row>
    <row r="65" spans="1:11">
      <c r="A65" t="s">
        <v>122</v>
      </c>
      <c r="B65" t="str">
        <f t="shared" si="0"/>
        <v>Wikirate International e.V.+Report discoverabilityJenoptik AG</v>
      </c>
      <c r="C65" t="s">
        <v>91</v>
      </c>
      <c r="D65" t="s">
        <v>123</v>
      </c>
      <c r="E65">
        <v>2024</v>
      </c>
      <c r="F65" t="s">
        <v>93</v>
      </c>
      <c r="G65" t="s">
        <v>124</v>
      </c>
      <c r="H65">
        <v>21488094</v>
      </c>
      <c r="J65">
        <v>2</v>
      </c>
    </row>
    <row r="66" spans="1:11">
      <c r="A66" t="s">
        <v>125</v>
      </c>
      <c r="B66" t="str">
        <f t="shared" si="0"/>
        <v>Wikirate International e.V.+Report discoverabilityContinental AG</v>
      </c>
      <c r="C66" t="s">
        <v>91</v>
      </c>
      <c r="D66" t="s">
        <v>126</v>
      </c>
      <c r="E66">
        <v>2024</v>
      </c>
      <c r="F66" t="s">
        <v>93</v>
      </c>
      <c r="G66" t="s">
        <v>127</v>
      </c>
      <c r="H66">
        <v>22197655</v>
      </c>
      <c r="J66">
        <v>2</v>
      </c>
    </row>
    <row r="67" spans="1:11">
      <c r="A67" t="s">
        <v>128</v>
      </c>
      <c r="B67" t="str">
        <f t="shared" si="0"/>
        <v>Wikirate International e.V.+Report discoverabilityThyssenKrupp Group</v>
      </c>
      <c r="C67" t="s">
        <v>91</v>
      </c>
      <c r="D67" t="s">
        <v>129</v>
      </c>
      <c r="E67">
        <v>2024</v>
      </c>
      <c r="F67" t="s">
        <v>93</v>
      </c>
      <c r="G67" t="s">
        <v>130</v>
      </c>
      <c r="H67">
        <v>22206177</v>
      </c>
      <c r="J67">
        <v>3</v>
      </c>
    </row>
    <row r="68" spans="1:11">
      <c r="A68" t="s">
        <v>131</v>
      </c>
      <c r="B68" t="str">
        <f t="shared" si="0"/>
        <v>Wikirate International e.V.+Report discoverabilityHelm AG</v>
      </c>
      <c r="C68" t="s">
        <v>91</v>
      </c>
      <c r="D68" t="s">
        <v>132</v>
      </c>
      <c r="E68">
        <v>2024</v>
      </c>
      <c r="F68" t="s">
        <v>96</v>
      </c>
      <c r="G68" t="s">
        <v>133</v>
      </c>
      <c r="H68">
        <v>22206387</v>
      </c>
      <c r="J68">
        <v>1</v>
      </c>
    </row>
    <row r="69" spans="1:11">
      <c r="A69" t="s">
        <v>134</v>
      </c>
      <c r="B69" t="str">
        <f t="shared" si="0"/>
        <v>Wikirate International e.V.+Report discoverabilityGEA Group</v>
      </c>
      <c r="C69" t="s">
        <v>91</v>
      </c>
      <c r="D69" t="s">
        <v>135</v>
      </c>
      <c r="E69">
        <v>2024</v>
      </c>
      <c r="F69" t="s">
        <v>93</v>
      </c>
      <c r="G69" t="s">
        <v>136</v>
      </c>
      <c r="H69">
        <v>22206954</v>
      </c>
      <c r="J69">
        <v>2</v>
      </c>
    </row>
    <row r="70" spans="1:11">
      <c r="A70" t="s">
        <v>137</v>
      </c>
      <c r="B70" t="str">
        <f t="shared" si="0"/>
        <v>Wikirate International e.V.+Report discoverabilityRobert Bosch GmbH</v>
      </c>
      <c r="C70" t="s">
        <v>91</v>
      </c>
      <c r="D70" t="s">
        <v>138</v>
      </c>
      <c r="E70">
        <v>2024</v>
      </c>
      <c r="F70" t="s">
        <v>96</v>
      </c>
      <c r="G70" t="s">
        <v>139</v>
      </c>
      <c r="H70">
        <v>22208537</v>
      </c>
      <c r="J70">
        <v>1</v>
      </c>
      <c r="K70" t="s">
        <v>140</v>
      </c>
    </row>
    <row r="71" spans="1:11">
      <c r="A71" t="s">
        <v>141</v>
      </c>
      <c r="B71" t="str">
        <f t="shared" ref="B71:B134" si="1">C71&amp;D71</f>
        <v>Wikirate International e.V.+Report discoverabilityMahle GmbH</v>
      </c>
      <c r="C71" t="s">
        <v>91</v>
      </c>
      <c r="D71" t="s">
        <v>142</v>
      </c>
      <c r="E71">
        <v>2024</v>
      </c>
      <c r="F71" t="s">
        <v>96</v>
      </c>
      <c r="G71" t="s">
        <v>143</v>
      </c>
      <c r="H71">
        <v>22208650</v>
      </c>
      <c r="J71">
        <v>1</v>
      </c>
    </row>
    <row r="72" spans="1:11">
      <c r="A72" t="s">
        <v>144</v>
      </c>
      <c r="B72" t="str">
        <f t="shared" si="1"/>
        <v>Wikirate International e.V.+Report discoverabilityVoith</v>
      </c>
      <c r="C72" t="s">
        <v>91</v>
      </c>
      <c r="D72" t="s">
        <v>145</v>
      </c>
      <c r="E72">
        <v>2024</v>
      </c>
      <c r="F72" t="s">
        <v>96</v>
      </c>
      <c r="G72" t="s">
        <v>146</v>
      </c>
      <c r="H72">
        <v>22208871</v>
      </c>
      <c r="J72">
        <v>1</v>
      </c>
    </row>
    <row r="73" spans="1:11">
      <c r="A73" t="s">
        <v>147</v>
      </c>
      <c r="B73" t="str">
        <f t="shared" si="1"/>
        <v>Wikirate International e.V.+Report discoverabilitySiemens AG</v>
      </c>
      <c r="C73" t="s">
        <v>91</v>
      </c>
      <c r="D73" t="s">
        <v>148</v>
      </c>
      <c r="E73">
        <v>2024</v>
      </c>
      <c r="F73" t="s">
        <v>93</v>
      </c>
      <c r="G73" t="s">
        <v>149</v>
      </c>
      <c r="H73">
        <v>22209061</v>
      </c>
      <c r="J73">
        <v>2</v>
      </c>
      <c r="K73" t="s">
        <v>150</v>
      </c>
    </row>
    <row r="74" spans="1:11">
      <c r="A74" t="s">
        <v>151</v>
      </c>
      <c r="B74" t="str">
        <f t="shared" si="1"/>
        <v>Wikirate International e.V.+Report discoverabilityZF Friedrichshafen</v>
      </c>
      <c r="C74" t="s">
        <v>91</v>
      </c>
      <c r="D74" t="s">
        <v>152</v>
      </c>
      <c r="E74">
        <v>2024</v>
      </c>
      <c r="F74" t="s">
        <v>96</v>
      </c>
      <c r="G74" t="s">
        <v>153</v>
      </c>
      <c r="H74">
        <v>22209219</v>
      </c>
      <c r="J74">
        <v>1</v>
      </c>
    </row>
    <row r="75" spans="1:11">
      <c r="A75" t="s">
        <v>154</v>
      </c>
      <c r="B75" t="str">
        <f t="shared" si="1"/>
        <v>Wikirate International e.V.+Report discoverabilityJungheinrich AG</v>
      </c>
      <c r="C75" t="s">
        <v>91</v>
      </c>
      <c r="D75" t="s">
        <v>155</v>
      </c>
      <c r="E75">
        <v>2024</v>
      </c>
      <c r="F75" t="s">
        <v>93</v>
      </c>
      <c r="G75" t="s">
        <v>156</v>
      </c>
      <c r="H75">
        <v>22209339</v>
      </c>
      <c r="J75">
        <v>2</v>
      </c>
      <c r="K75" t="s">
        <v>157</v>
      </c>
    </row>
    <row r="76" spans="1:11">
      <c r="A76" t="s">
        <v>158</v>
      </c>
      <c r="B76" t="str">
        <f t="shared" si="1"/>
        <v>Wikirate International e.V.+Report discoverabilitySchaeffler Technologies</v>
      </c>
      <c r="C76" t="s">
        <v>91</v>
      </c>
      <c r="D76" t="s">
        <v>1618</v>
      </c>
      <c r="E76">
        <v>2024</v>
      </c>
      <c r="F76" t="s">
        <v>93</v>
      </c>
      <c r="G76" t="s">
        <v>159</v>
      </c>
      <c r="H76">
        <v>22209400</v>
      </c>
      <c r="J76">
        <v>2</v>
      </c>
      <c r="K76" t="s">
        <v>160</v>
      </c>
    </row>
    <row r="77" spans="1:11">
      <c r="A77" t="s">
        <v>161</v>
      </c>
      <c r="B77" t="str">
        <f t="shared" si="1"/>
        <v>Wikirate International e.V.+Report discoverabilityKION Group</v>
      </c>
      <c r="C77" t="s">
        <v>91</v>
      </c>
      <c r="D77" t="s">
        <v>65</v>
      </c>
      <c r="E77">
        <v>2024</v>
      </c>
      <c r="F77" t="s">
        <v>93</v>
      </c>
      <c r="G77" t="s">
        <v>162</v>
      </c>
      <c r="H77">
        <v>22210671</v>
      </c>
      <c r="J77">
        <v>2</v>
      </c>
    </row>
    <row r="78" spans="1:11">
      <c r="A78" t="s">
        <v>163</v>
      </c>
      <c r="B78" t="str">
        <f t="shared" si="1"/>
        <v>Wikirate International e.V.+Report discoverabilityCovestro</v>
      </c>
      <c r="C78" t="s">
        <v>91</v>
      </c>
      <c r="D78" t="s">
        <v>164</v>
      </c>
      <c r="E78">
        <v>2024</v>
      </c>
      <c r="F78" t="s">
        <v>93</v>
      </c>
      <c r="G78" t="s">
        <v>165</v>
      </c>
      <c r="H78">
        <v>22211002</v>
      </c>
      <c r="J78">
        <v>2</v>
      </c>
      <c r="K78" t="s">
        <v>166</v>
      </c>
    </row>
    <row r="79" spans="1:11">
      <c r="A79" t="s">
        <v>167</v>
      </c>
      <c r="B79" t="str">
        <f t="shared" si="1"/>
        <v>Wikirate International e.V.+Report discoverabilityKrones AG</v>
      </c>
      <c r="C79" t="s">
        <v>91</v>
      </c>
      <c r="D79" t="s">
        <v>168</v>
      </c>
      <c r="E79">
        <v>2024</v>
      </c>
      <c r="F79" t="s">
        <v>93</v>
      </c>
      <c r="G79" t="s">
        <v>169</v>
      </c>
      <c r="H79">
        <v>22211472</v>
      </c>
      <c r="J79">
        <v>1</v>
      </c>
      <c r="K79" t="s">
        <v>170</v>
      </c>
    </row>
    <row r="80" spans="1:11">
      <c r="A80" t="s">
        <v>171</v>
      </c>
      <c r="B80" t="str">
        <f t="shared" si="1"/>
        <v>Wikirate International e.V.+Report discoverabilityHenkel AG &amp; Co. KGaA</v>
      </c>
      <c r="C80" t="s">
        <v>91</v>
      </c>
      <c r="D80" t="s">
        <v>172</v>
      </c>
      <c r="E80">
        <v>2024</v>
      </c>
      <c r="F80" t="s">
        <v>96</v>
      </c>
      <c r="G80" t="s">
        <v>173</v>
      </c>
      <c r="H80">
        <v>22211657</v>
      </c>
      <c r="I80" t="s">
        <v>174</v>
      </c>
      <c r="J80">
        <v>1</v>
      </c>
      <c r="K80" t="s">
        <v>175</v>
      </c>
    </row>
    <row r="81" spans="1:11">
      <c r="A81" t="s">
        <v>176</v>
      </c>
      <c r="B81" t="str">
        <f t="shared" si="1"/>
        <v>Wikirate International e.V.+Report discoverabilityEnBW-Energie Baden-Wuerttemberg</v>
      </c>
      <c r="C81" t="s">
        <v>91</v>
      </c>
      <c r="D81" t="s">
        <v>177</v>
      </c>
      <c r="E81">
        <v>2024</v>
      </c>
      <c r="F81" t="s">
        <v>96</v>
      </c>
      <c r="G81" t="s">
        <v>178</v>
      </c>
      <c r="H81">
        <v>22218129</v>
      </c>
      <c r="I81" t="s">
        <v>179</v>
      </c>
      <c r="J81">
        <v>1</v>
      </c>
      <c r="K81" t="s">
        <v>180</v>
      </c>
    </row>
    <row r="82" spans="1:11">
      <c r="A82" t="s">
        <v>181</v>
      </c>
      <c r="B82" t="str">
        <f t="shared" si="1"/>
        <v>Wikirate International e.V.+Report discoverabilityAmprion GmbH</v>
      </c>
      <c r="C82" t="s">
        <v>91</v>
      </c>
      <c r="D82" t="s">
        <v>182</v>
      </c>
      <c r="E82">
        <v>2024</v>
      </c>
      <c r="F82" t="s">
        <v>96</v>
      </c>
      <c r="G82" t="s">
        <v>183</v>
      </c>
      <c r="H82">
        <v>22218233</v>
      </c>
      <c r="I82" t="s">
        <v>184</v>
      </c>
      <c r="J82">
        <v>1</v>
      </c>
      <c r="K82" t="s">
        <v>185</v>
      </c>
    </row>
    <row r="83" spans="1:11">
      <c r="A83" t="s">
        <v>186</v>
      </c>
      <c r="B83" t="str">
        <f t="shared" si="1"/>
        <v>Wikirate International e.V.+Report discoverabilityHELLA GMBH &amp; CO. KGAA</v>
      </c>
      <c r="C83" t="s">
        <v>91</v>
      </c>
      <c r="D83" t="s">
        <v>187</v>
      </c>
      <c r="E83">
        <v>2024</v>
      </c>
      <c r="F83" t="s">
        <v>96</v>
      </c>
      <c r="G83" t="s">
        <v>188</v>
      </c>
      <c r="H83">
        <v>22218306</v>
      </c>
      <c r="I83" t="s">
        <v>189</v>
      </c>
      <c r="J83">
        <v>1</v>
      </c>
    </row>
    <row r="84" spans="1:11">
      <c r="A84" t="s">
        <v>190</v>
      </c>
      <c r="B84" t="str">
        <f t="shared" si="1"/>
        <v>Wikirate International e.V.+Report discoverabilityD√ºrr Group</v>
      </c>
      <c r="C84" t="s">
        <v>91</v>
      </c>
      <c r="D84" t="s">
        <v>191</v>
      </c>
      <c r="E84">
        <v>2024</v>
      </c>
      <c r="F84" t="s">
        <v>96</v>
      </c>
      <c r="G84" t="s">
        <v>192</v>
      </c>
      <c r="H84">
        <v>22218594</v>
      </c>
      <c r="J84">
        <v>1</v>
      </c>
    </row>
    <row r="85" spans="1:11">
      <c r="A85" t="s">
        <v>193</v>
      </c>
      <c r="B85" t="str">
        <f t="shared" si="1"/>
        <v>Wikirate International e.V.+Report discoverabilityLanxess</v>
      </c>
      <c r="C85" t="s">
        <v>91</v>
      </c>
      <c r="D85" t="s">
        <v>194</v>
      </c>
      <c r="E85">
        <v>2024</v>
      </c>
      <c r="F85" t="s">
        <v>93</v>
      </c>
      <c r="G85" t="s">
        <v>195</v>
      </c>
      <c r="H85">
        <v>22218738</v>
      </c>
      <c r="J85">
        <v>2</v>
      </c>
    </row>
    <row r="86" spans="1:11">
      <c r="A86" t="s">
        <v>196</v>
      </c>
      <c r="B86" t="str">
        <f t="shared" si="1"/>
        <v>Wikirate International e.V.+Report discoverabilityDeere &amp; Co</v>
      </c>
      <c r="C86" t="s">
        <v>91</v>
      </c>
      <c r="D86" t="s">
        <v>197</v>
      </c>
      <c r="E86">
        <v>2024</v>
      </c>
      <c r="F86" t="s">
        <v>96</v>
      </c>
      <c r="G86" t="s">
        <v>198</v>
      </c>
      <c r="H86">
        <v>22218880</v>
      </c>
      <c r="J86">
        <v>1</v>
      </c>
      <c r="K86" t="s">
        <v>199</v>
      </c>
    </row>
    <row r="87" spans="1:11">
      <c r="A87" t="s">
        <v>200</v>
      </c>
      <c r="B87" t="str">
        <f t="shared" si="1"/>
        <v>Wikirate International e.V.+Report discoverabilityBoehringer Ingelheim GmbH</v>
      </c>
      <c r="C87" t="s">
        <v>91</v>
      </c>
      <c r="D87" t="s">
        <v>201</v>
      </c>
      <c r="E87">
        <v>2024</v>
      </c>
      <c r="F87" t="s">
        <v>93</v>
      </c>
      <c r="G87" t="s">
        <v>202</v>
      </c>
      <c r="H87">
        <v>22219083</v>
      </c>
      <c r="I87" t="s">
        <v>203</v>
      </c>
      <c r="J87">
        <v>2</v>
      </c>
      <c r="K87" t="s">
        <v>204</v>
      </c>
    </row>
    <row r="88" spans="1:11">
      <c r="A88" t="s">
        <v>205</v>
      </c>
      <c r="B88" t="str">
        <f t="shared" si="1"/>
        <v>Wikirate International e.V.+Report discoverabilityStadtwerke Munchen GmbH</v>
      </c>
      <c r="C88" t="s">
        <v>91</v>
      </c>
      <c r="D88" t="s">
        <v>61</v>
      </c>
      <c r="E88">
        <v>2024</v>
      </c>
      <c r="F88" t="s">
        <v>96</v>
      </c>
      <c r="G88" t="s">
        <v>206</v>
      </c>
      <c r="H88">
        <v>22219183</v>
      </c>
      <c r="J88">
        <v>1</v>
      </c>
    </row>
    <row r="89" spans="1:11">
      <c r="A89" t="s">
        <v>207</v>
      </c>
      <c r="B89" t="str">
        <f t="shared" si="1"/>
        <v>Wikirate International e.V.+Report discoverabilityHensoldt AG</v>
      </c>
      <c r="C89" t="s">
        <v>91</v>
      </c>
      <c r="D89" t="s">
        <v>208</v>
      </c>
      <c r="E89">
        <v>2024</v>
      </c>
      <c r="F89" t="s">
        <v>96</v>
      </c>
      <c r="G89" t="s">
        <v>209</v>
      </c>
      <c r="H89">
        <v>22219199</v>
      </c>
      <c r="J89">
        <v>1</v>
      </c>
      <c r="K89" t="s">
        <v>210</v>
      </c>
    </row>
    <row r="90" spans="1:11">
      <c r="A90" t="s">
        <v>211</v>
      </c>
      <c r="B90" t="str">
        <f t="shared" si="1"/>
        <v>Wikirate International e.V.+Report discoverabilitySiemens Energy AG</v>
      </c>
      <c r="C90" t="s">
        <v>91</v>
      </c>
      <c r="D90" t="s">
        <v>71</v>
      </c>
      <c r="E90">
        <v>2024</v>
      </c>
      <c r="F90" t="s">
        <v>96</v>
      </c>
      <c r="G90" t="s">
        <v>212</v>
      </c>
      <c r="H90">
        <v>22219264</v>
      </c>
      <c r="J90">
        <v>1</v>
      </c>
    </row>
    <row r="91" spans="1:11">
      <c r="A91" t="s">
        <v>213</v>
      </c>
      <c r="B91" t="str">
        <f t="shared" si="1"/>
        <v>Wikirate International e.V.+Report discoverabilityRheinmetall AG</v>
      </c>
      <c r="C91" t="s">
        <v>91</v>
      </c>
      <c r="D91" t="s">
        <v>79</v>
      </c>
      <c r="E91">
        <v>2024</v>
      </c>
      <c r="F91" t="s">
        <v>1693</v>
      </c>
      <c r="G91" t="s">
        <v>214</v>
      </c>
      <c r="H91">
        <v>22219460</v>
      </c>
      <c r="J91">
        <v>2</v>
      </c>
    </row>
    <row r="92" spans="1:11">
      <c r="A92" t="s">
        <v>215</v>
      </c>
      <c r="B92" t="str">
        <f t="shared" si="1"/>
        <v>Wikirate International e.V.+Report discoverabilityUniper SE</v>
      </c>
      <c r="C92" t="s">
        <v>91</v>
      </c>
      <c r="D92" t="s">
        <v>83</v>
      </c>
      <c r="E92">
        <v>2024</v>
      </c>
      <c r="F92" t="s">
        <v>93</v>
      </c>
      <c r="G92" t="s">
        <v>216</v>
      </c>
      <c r="H92">
        <v>22219668</v>
      </c>
      <c r="J92">
        <v>2</v>
      </c>
      <c r="K92" t="s">
        <v>217</v>
      </c>
    </row>
    <row r="93" spans="1:11">
      <c r="A93" t="s">
        <v>218</v>
      </c>
      <c r="B93" t="str">
        <f t="shared" si="1"/>
        <v>Wikirate International e.V.+Report discoverability50Hertz Transmission</v>
      </c>
      <c r="C93" t="s">
        <v>91</v>
      </c>
      <c r="D93" t="s">
        <v>68</v>
      </c>
      <c r="E93">
        <v>2024</v>
      </c>
      <c r="F93" t="s">
        <v>1692</v>
      </c>
      <c r="G93" t="s">
        <v>219</v>
      </c>
      <c r="H93">
        <v>22246077</v>
      </c>
      <c r="I93" t="s">
        <v>220</v>
      </c>
      <c r="J93">
        <v>1</v>
      </c>
      <c r="K93" t="s">
        <v>221</v>
      </c>
    </row>
    <row r="94" spans="1:11">
      <c r="A94" t="s">
        <v>222</v>
      </c>
      <c r="B94" t="str">
        <f t="shared" si="1"/>
        <v>Wikirate International e.V.+Report discoverabilityLockheed Martin</v>
      </c>
      <c r="C94" t="s">
        <v>91</v>
      </c>
      <c r="D94" t="s">
        <v>38</v>
      </c>
      <c r="E94">
        <v>2024</v>
      </c>
      <c r="F94" t="s">
        <v>93</v>
      </c>
      <c r="G94" t="s">
        <v>223</v>
      </c>
      <c r="H94">
        <v>22246493</v>
      </c>
      <c r="J94">
        <v>2</v>
      </c>
    </row>
    <row r="95" spans="1:11">
      <c r="A95" t="s">
        <v>224</v>
      </c>
      <c r="B95" t="str">
        <f t="shared" si="1"/>
        <v>Wikirate International e.V.+Report discoverabilityDiehl Stiftung &amp; Co. KG</v>
      </c>
      <c r="C95" t="s">
        <v>91</v>
      </c>
      <c r="D95" t="s">
        <v>53</v>
      </c>
      <c r="E95">
        <v>2024</v>
      </c>
      <c r="F95" t="s">
        <v>96</v>
      </c>
      <c r="G95" t="s">
        <v>225</v>
      </c>
      <c r="H95">
        <v>22246581</v>
      </c>
      <c r="J95">
        <v>1</v>
      </c>
    </row>
    <row r="96" spans="1:11">
      <c r="A96" t="s">
        <v>226</v>
      </c>
      <c r="B96" t="str">
        <f t="shared" si="1"/>
        <v>Wikirate International e.V.+Report discoverabilityMerck KGaA</v>
      </c>
      <c r="C96" t="s">
        <v>91</v>
      </c>
      <c r="D96" t="s">
        <v>49</v>
      </c>
      <c r="E96">
        <v>2024</v>
      </c>
      <c r="F96" t="s">
        <v>96</v>
      </c>
      <c r="G96" t="s">
        <v>227</v>
      </c>
      <c r="H96">
        <v>22246720</v>
      </c>
      <c r="J96">
        <v>1</v>
      </c>
      <c r="K96" t="s">
        <v>228</v>
      </c>
    </row>
    <row r="97" spans="1:11">
      <c r="A97" t="s">
        <v>229</v>
      </c>
      <c r="B97" t="str">
        <f t="shared" si="1"/>
        <v>Wikirate International e.V.+Report discoverabilityEvonik</v>
      </c>
      <c r="C97" t="s">
        <v>91</v>
      </c>
      <c r="D97" t="s">
        <v>45</v>
      </c>
      <c r="E97">
        <v>2024</v>
      </c>
      <c r="F97" t="s">
        <v>96</v>
      </c>
      <c r="G97" t="s">
        <v>230</v>
      </c>
      <c r="H97">
        <v>22246823</v>
      </c>
      <c r="J97">
        <v>1</v>
      </c>
    </row>
    <row r="98" spans="1:11">
      <c r="A98" t="s">
        <v>231</v>
      </c>
      <c r="B98" t="str">
        <f t="shared" si="1"/>
        <v>Wikirate International e.V.+Report discoverabilityKNDS Group</v>
      </c>
      <c r="C98" t="s">
        <v>91</v>
      </c>
      <c r="D98" t="s">
        <v>42</v>
      </c>
      <c r="E98">
        <v>2024</v>
      </c>
      <c r="F98" t="s">
        <v>232</v>
      </c>
      <c r="G98" t="s">
        <v>43</v>
      </c>
      <c r="H98">
        <v>22246969</v>
      </c>
      <c r="J98">
        <v>1</v>
      </c>
    </row>
    <row r="99" spans="1:11">
      <c r="A99" t="s">
        <v>233</v>
      </c>
      <c r="B99" t="str">
        <f t="shared" si="1"/>
        <v>Wikirate International e.V.+Report discoverabilityLeonardo</v>
      </c>
      <c r="C99" t="s">
        <v>91</v>
      </c>
      <c r="D99" t="s">
        <v>33</v>
      </c>
      <c r="E99">
        <v>2024</v>
      </c>
      <c r="F99" t="s">
        <v>93</v>
      </c>
      <c r="G99" t="s">
        <v>234</v>
      </c>
      <c r="H99">
        <v>22247148</v>
      </c>
      <c r="J99">
        <v>2</v>
      </c>
    </row>
    <row r="100" spans="1:11">
      <c r="A100" t="s">
        <v>235</v>
      </c>
      <c r="B100" t="str">
        <f t="shared" si="1"/>
        <v>Wikirate International e.V.+Report discoverabilityGelsenwasser</v>
      </c>
      <c r="C100" t="s">
        <v>91</v>
      </c>
      <c r="D100" t="s">
        <v>29</v>
      </c>
      <c r="E100">
        <v>2024</v>
      </c>
      <c r="F100" t="s">
        <v>96</v>
      </c>
      <c r="G100" t="s">
        <v>236</v>
      </c>
      <c r="H100">
        <v>22247748</v>
      </c>
      <c r="J100">
        <v>1</v>
      </c>
    </row>
    <row r="101" spans="1:11">
      <c r="A101" t="s">
        <v>237</v>
      </c>
      <c r="B101" t="str">
        <f t="shared" si="1"/>
        <v>Wikirate International e.V.+Report discoverabilityWacker Chemie</v>
      </c>
      <c r="C101" t="s">
        <v>91</v>
      </c>
      <c r="D101" t="s">
        <v>24</v>
      </c>
      <c r="E101">
        <v>2024</v>
      </c>
      <c r="F101" t="s">
        <v>93</v>
      </c>
      <c r="G101" t="s">
        <v>238</v>
      </c>
      <c r="H101">
        <v>22249859</v>
      </c>
      <c r="J101">
        <v>2</v>
      </c>
      <c r="K101" t="s">
        <v>239</v>
      </c>
    </row>
    <row r="102" spans="1:11">
      <c r="A102" t="s">
        <v>240</v>
      </c>
      <c r="B102" t="str">
        <f t="shared" si="1"/>
        <v>Wikirate International e.V.+Report discoverabilityTh√ºga Holding</v>
      </c>
      <c r="C102" t="s">
        <v>91</v>
      </c>
      <c r="D102" t="s">
        <v>20</v>
      </c>
      <c r="E102">
        <v>2024</v>
      </c>
      <c r="F102" t="s">
        <v>96</v>
      </c>
      <c r="G102" t="s">
        <v>1534</v>
      </c>
      <c r="H102">
        <v>22250717</v>
      </c>
      <c r="J102">
        <v>1</v>
      </c>
    </row>
    <row r="103" spans="1:11">
      <c r="A103" t="s">
        <v>241</v>
      </c>
      <c r="B103" t="str">
        <f t="shared" si="1"/>
        <v>Wikirate International e.V.+Report formatBMW AG</v>
      </c>
      <c r="C103" t="s">
        <v>242</v>
      </c>
      <c r="D103" t="s">
        <v>92</v>
      </c>
      <c r="E103">
        <v>2024</v>
      </c>
      <c r="F103" t="s">
        <v>243</v>
      </c>
      <c r="G103" t="s">
        <v>94</v>
      </c>
      <c r="H103">
        <v>21483495</v>
      </c>
      <c r="J103">
        <v>2</v>
      </c>
      <c r="K103" t="s">
        <v>244</v>
      </c>
    </row>
    <row r="104" spans="1:11">
      <c r="A104" t="s">
        <v>245</v>
      </c>
      <c r="B104" t="str">
        <f t="shared" si="1"/>
        <v>Wikirate International e.V.+Report formatAirbus Group</v>
      </c>
      <c r="C104" t="s">
        <v>242</v>
      </c>
      <c r="D104" t="s">
        <v>74</v>
      </c>
      <c r="E104">
        <v>2024</v>
      </c>
      <c r="F104" t="s">
        <v>246</v>
      </c>
      <c r="G104" t="s">
        <v>75</v>
      </c>
      <c r="H104">
        <v>21484331</v>
      </c>
      <c r="I104" t="s">
        <v>76</v>
      </c>
      <c r="J104">
        <v>1</v>
      </c>
    </row>
    <row r="105" spans="1:11">
      <c r="A105" t="s">
        <v>247</v>
      </c>
      <c r="B105" t="str">
        <f t="shared" si="1"/>
        <v>Wikirate International e.V.+Report formatRWE Group</v>
      </c>
      <c r="C105" t="s">
        <v>242</v>
      </c>
      <c r="D105" t="s">
        <v>14</v>
      </c>
      <c r="E105">
        <v>2024</v>
      </c>
      <c r="F105" t="s">
        <v>246</v>
      </c>
      <c r="G105" t="s">
        <v>16</v>
      </c>
      <c r="H105">
        <v>21484605</v>
      </c>
      <c r="I105" t="s">
        <v>17</v>
      </c>
      <c r="J105">
        <v>1</v>
      </c>
    </row>
    <row r="106" spans="1:11">
      <c r="A106" t="s">
        <v>248</v>
      </c>
      <c r="B106" t="str">
        <f t="shared" si="1"/>
        <v>Wikirate International e.V.+Report formatMercedes-Benz AG</v>
      </c>
      <c r="C106" t="s">
        <v>242</v>
      </c>
      <c r="D106" t="s">
        <v>102</v>
      </c>
      <c r="E106">
        <v>2024</v>
      </c>
      <c r="F106" t="s">
        <v>246</v>
      </c>
      <c r="G106" t="s">
        <v>249</v>
      </c>
      <c r="H106">
        <v>21484680</v>
      </c>
      <c r="I106" t="s">
        <v>250</v>
      </c>
      <c r="J106">
        <v>1</v>
      </c>
    </row>
    <row r="107" spans="1:11">
      <c r="A107" t="s">
        <v>251</v>
      </c>
      <c r="B107" t="str">
        <f t="shared" si="1"/>
        <v>Wikirate International e.V.+Report formatBASF SE</v>
      </c>
      <c r="C107" t="s">
        <v>242</v>
      </c>
      <c r="D107" t="s">
        <v>108</v>
      </c>
      <c r="E107">
        <v>2024</v>
      </c>
      <c r="F107" t="s">
        <v>1535</v>
      </c>
      <c r="G107" t="s">
        <v>253</v>
      </c>
      <c r="H107">
        <v>21484875</v>
      </c>
      <c r="J107">
        <v>2</v>
      </c>
    </row>
    <row r="108" spans="1:11">
      <c r="A108" t="s">
        <v>254</v>
      </c>
      <c r="B108" t="str">
        <f t="shared" si="1"/>
        <v>Wikirate International e.V.+Report formatVolkswagen AG</v>
      </c>
      <c r="C108" t="s">
        <v>242</v>
      </c>
      <c r="D108" t="s">
        <v>112</v>
      </c>
      <c r="E108">
        <v>2024</v>
      </c>
      <c r="F108" t="s">
        <v>246</v>
      </c>
      <c r="G108" t="s">
        <v>255</v>
      </c>
      <c r="H108">
        <v>21485270</v>
      </c>
      <c r="I108" t="s">
        <v>256</v>
      </c>
      <c r="J108">
        <v>1</v>
      </c>
    </row>
    <row r="109" spans="1:11">
      <c r="A109" t="s">
        <v>257</v>
      </c>
      <c r="B109" t="str">
        <f t="shared" si="1"/>
        <v>Wikirate International e.V.+Report formatBayer AG</v>
      </c>
      <c r="C109" t="s">
        <v>242</v>
      </c>
      <c r="D109" t="s">
        <v>87</v>
      </c>
      <c r="E109">
        <v>2024</v>
      </c>
      <c r="F109" t="s">
        <v>246</v>
      </c>
      <c r="G109" t="s">
        <v>88</v>
      </c>
      <c r="H109">
        <v>21486486</v>
      </c>
      <c r="J109">
        <v>1</v>
      </c>
    </row>
    <row r="110" spans="1:11">
      <c r="A110" t="s">
        <v>258</v>
      </c>
      <c r="B110" t="str">
        <f t="shared" si="1"/>
        <v>Wikirate International e.V.+Report formatE.ON SE</v>
      </c>
      <c r="C110" t="s">
        <v>242</v>
      </c>
      <c r="D110" t="s">
        <v>57</v>
      </c>
      <c r="E110">
        <v>2024</v>
      </c>
      <c r="F110" t="s">
        <v>246</v>
      </c>
      <c r="G110" t="s">
        <v>58</v>
      </c>
      <c r="H110">
        <v>21486494</v>
      </c>
      <c r="J110">
        <v>1</v>
      </c>
    </row>
    <row r="111" spans="1:11">
      <c r="A111" t="s">
        <v>259</v>
      </c>
      <c r="B111" t="str">
        <f t="shared" si="1"/>
        <v>Wikirate International e.V.+Report formatDaimler Truck AG</v>
      </c>
      <c r="C111" t="s">
        <v>242</v>
      </c>
      <c r="D111" t="s">
        <v>118</v>
      </c>
      <c r="E111">
        <v>2024</v>
      </c>
      <c r="F111" t="s">
        <v>246</v>
      </c>
      <c r="G111" t="s">
        <v>119</v>
      </c>
      <c r="H111">
        <v>21487681</v>
      </c>
      <c r="I111" t="s">
        <v>120</v>
      </c>
      <c r="J111">
        <v>1</v>
      </c>
    </row>
    <row r="112" spans="1:11">
      <c r="A112" t="s">
        <v>260</v>
      </c>
      <c r="B112" t="str">
        <f t="shared" si="1"/>
        <v>Wikirate International e.V.+Report formatJenoptik AG</v>
      </c>
      <c r="C112" t="s">
        <v>242</v>
      </c>
      <c r="D112" t="s">
        <v>123</v>
      </c>
      <c r="E112">
        <v>2024</v>
      </c>
      <c r="F112" t="s">
        <v>246</v>
      </c>
      <c r="G112" t="s">
        <v>261</v>
      </c>
      <c r="H112">
        <v>21488098</v>
      </c>
      <c r="J112">
        <v>1</v>
      </c>
    </row>
    <row r="113" spans="1:11">
      <c r="A113" t="s">
        <v>262</v>
      </c>
      <c r="B113" t="str">
        <f t="shared" si="1"/>
        <v>Wikirate International e.V.+Report formatContinental AG</v>
      </c>
      <c r="C113" t="s">
        <v>242</v>
      </c>
      <c r="D113" t="s">
        <v>126</v>
      </c>
      <c r="E113">
        <v>2024</v>
      </c>
      <c r="F113" t="s">
        <v>246</v>
      </c>
      <c r="G113" t="s">
        <v>127</v>
      </c>
      <c r="H113">
        <v>22197667</v>
      </c>
      <c r="J113">
        <v>2</v>
      </c>
      <c r="K113" t="s">
        <v>263</v>
      </c>
    </row>
    <row r="114" spans="1:11">
      <c r="A114" t="s">
        <v>264</v>
      </c>
      <c r="B114" t="str">
        <f t="shared" si="1"/>
        <v>Wikirate International e.V.+Report formatThyssenKrupp Group</v>
      </c>
      <c r="C114" t="s">
        <v>242</v>
      </c>
      <c r="D114" t="s">
        <v>129</v>
      </c>
      <c r="E114">
        <v>2024</v>
      </c>
      <c r="F114" t="s">
        <v>246</v>
      </c>
      <c r="G114" t="s">
        <v>265</v>
      </c>
      <c r="H114">
        <v>22206183</v>
      </c>
      <c r="I114" t="s">
        <v>266</v>
      </c>
      <c r="J114">
        <v>1</v>
      </c>
    </row>
    <row r="115" spans="1:11">
      <c r="A115" t="s">
        <v>267</v>
      </c>
      <c r="B115" t="str">
        <f t="shared" si="1"/>
        <v>Wikirate International e.V.+Report formatHelm AG</v>
      </c>
      <c r="C115" t="s">
        <v>242</v>
      </c>
      <c r="D115" t="s">
        <v>132</v>
      </c>
      <c r="E115">
        <v>2024</v>
      </c>
      <c r="F115" t="s">
        <v>246</v>
      </c>
      <c r="G115" t="s">
        <v>268</v>
      </c>
      <c r="H115">
        <v>22206392</v>
      </c>
      <c r="J115">
        <v>1</v>
      </c>
    </row>
    <row r="116" spans="1:11">
      <c r="A116" t="s">
        <v>269</v>
      </c>
      <c r="B116" t="str">
        <f t="shared" si="1"/>
        <v>Wikirate International e.V.+Report formatSiemens AG</v>
      </c>
      <c r="C116" t="s">
        <v>242</v>
      </c>
      <c r="D116" t="s">
        <v>148</v>
      </c>
      <c r="E116">
        <v>2024</v>
      </c>
      <c r="F116" t="s">
        <v>246</v>
      </c>
      <c r="G116" t="s">
        <v>270</v>
      </c>
      <c r="H116">
        <v>22206422</v>
      </c>
      <c r="J116">
        <v>1</v>
      </c>
    </row>
    <row r="117" spans="1:11">
      <c r="A117" t="s">
        <v>271</v>
      </c>
      <c r="B117" t="str">
        <f t="shared" si="1"/>
        <v>Wikirate International e.V.+Report formatGEA Group</v>
      </c>
      <c r="C117" t="s">
        <v>242</v>
      </c>
      <c r="D117" t="s">
        <v>135</v>
      </c>
      <c r="E117">
        <v>2024</v>
      </c>
      <c r="F117" t="s">
        <v>246</v>
      </c>
      <c r="G117" t="s">
        <v>136</v>
      </c>
      <c r="H117">
        <v>22206961</v>
      </c>
      <c r="J117">
        <v>1</v>
      </c>
    </row>
    <row r="118" spans="1:11">
      <c r="A118" t="s">
        <v>272</v>
      </c>
      <c r="B118" t="str">
        <f t="shared" si="1"/>
        <v>Wikirate International e.V.+Report formatRobert Bosch GmbH</v>
      </c>
      <c r="C118" t="s">
        <v>242</v>
      </c>
      <c r="D118" t="s">
        <v>138</v>
      </c>
      <c r="E118">
        <v>2024</v>
      </c>
      <c r="F118" t="s">
        <v>246</v>
      </c>
      <c r="G118" t="s">
        <v>273</v>
      </c>
      <c r="H118">
        <v>22208542</v>
      </c>
      <c r="I118" t="s">
        <v>274</v>
      </c>
      <c r="J118">
        <v>1</v>
      </c>
    </row>
    <row r="119" spans="1:11">
      <c r="A119" t="s">
        <v>275</v>
      </c>
      <c r="B119" t="str">
        <f t="shared" si="1"/>
        <v>Wikirate International e.V.+Report formatMahle GmbH</v>
      </c>
      <c r="C119" t="s">
        <v>242</v>
      </c>
      <c r="D119" t="s">
        <v>142</v>
      </c>
      <c r="E119">
        <v>2024</v>
      </c>
      <c r="F119" t="s">
        <v>246</v>
      </c>
      <c r="G119" t="s">
        <v>276</v>
      </c>
      <c r="H119">
        <v>22208655</v>
      </c>
      <c r="J119">
        <v>1</v>
      </c>
    </row>
    <row r="120" spans="1:11">
      <c r="A120" t="s">
        <v>277</v>
      </c>
      <c r="B120" t="str">
        <f t="shared" si="1"/>
        <v>Wikirate International e.V.+Report formatVoith</v>
      </c>
      <c r="C120" t="s">
        <v>242</v>
      </c>
      <c r="D120" t="s">
        <v>145</v>
      </c>
      <c r="E120">
        <v>2024</v>
      </c>
      <c r="F120" t="s">
        <v>246</v>
      </c>
      <c r="G120" t="s">
        <v>278</v>
      </c>
      <c r="H120">
        <v>22208904</v>
      </c>
      <c r="I120" t="s">
        <v>279</v>
      </c>
      <c r="J120">
        <v>1</v>
      </c>
    </row>
    <row r="121" spans="1:11">
      <c r="A121" t="s">
        <v>280</v>
      </c>
      <c r="B121" t="str">
        <f t="shared" si="1"/>
        <v>Wikirate International e.V.+Report formatSchaeffler Technologies</v>
      </c>
      <c r="C121" t="s">
        <v>242</v>
      </c>
      <c r="D121" t="s">
        <v>1618</v>
      </c>
      <c r="E121">
        <v>2024</v>
      </c>
      <c r="F121" t="s">
        <v>246</v>
      </c>
      <c r="G121" t="s">
        <v>281</v>
      </c>
      <c r="H121">
        <v>22209197</v>
      </c>
      <c r="J121">
        <v>1</v>
      </c>
    </row>
    <row r="122" spans="1:11">
      <c r="A122" t="s">
        <v>282</v>
      </c>
      <c r="B122" t="str">
        <f t="shared" si="1"/>
        <v>Wikirate International e.V.+Report formatZF Friedrichshafen</v>
      </c>
      <c r="C122" t="s">
        <v>242</v>
      </c>
      <c r="D122" t="s">
        <v>152</v>
      </c>
      <c r="E122">
        <v>2024</v>
      </c>
      <c r="F122" t="s">
        <v>246</v>
      </c>
      <c r="G122" t="s">
        <v>283</v>
      </c>
      <c r="H122">
        <v>22209224</v>
      </c>
      <c r="J122">
        <v>1</v>
      </c>
    </row>
    <row r="123" spans="1:11">
      <c r="A123" t="s">
        <v>284</v>
      </c>
      <c r="B123" t="str">
        <f t="shared" si="1"/>
        <v>Wikirate International e.V.+Report formatJungheinrich AG</v>
      </c>
      <c r="C123" t="s">
        <v>242</v>
      </c>
      <c r="D123" t="s">
        <v>155</v>
      </c>
      <c r="E123">
        <v>2024</v>
      </c>
      <c r="F123" t="s">
        <v>246</v>
      </c>
      <c r="G123" t="s">
        <v>285</v>
      </c>
      <c r="H123">
        <v>22209345</v>
      </c>
      <c r="J123">
        <v>1</v>
      </c>
      <c r="K123" t="s">
        <v>1536</v>
      </c>
    </row>
    <row r="124" spans="1:11">
      <c r="A124" t="s">
        <v>286</v>
      </c>
      <c r="B124" t="str">
        <f t="shared" si="1"/>
        <v>Wikirate International e.V.+Report formatLanxess</v>
      </c>
      <c r="C124" t="s">
        <v>242</v>
      </c>
      <c r="D124" t="s">
        <v>194</v>
      </c>
      <c r="E124">
        <v>2024</v>
      </c>
      <c r="F124" t="s">
        <v>246</v>
      </c>
      <c r="G124" t="s">
        <v>287</v>
      </c>
      <c r="H124">
        <v>22209456</v>
      </c>
      <c r="J124">
        <v>1</v>
      </c>
    </row>
    <row r="125" spans="1:11">
      <c r="A125" t="s">
        <v>288</v>
      </c>
      <c r="B125" t="str">
        <f t="shared" si="1"/>
        <v>Wikirate International e.V.+Report formatCovestro</v>
      </c>
      <c r="C125" t="s">
        <v>242</v>
      </c>
      <c r="D125" t="s">
        <v>164</v>
      </c>
      <c r="E125">
        <v>2024</v>
      </c>
      <c r="F125" t="s">
        <v>246</v>
      </c>
      <c r="G125" t="s">
        <v>289</v>
      </c>
      <c r="H125">
        <v>22211007</v>
      </c>
      <c r="I125" t="s">
        <v>290</v>
      </c>
      <c r="J125">
        <v>1</v>
      </c>
    </row>
    <row r="126" spans="1:11">
      <c r="A126" t="s">
        <v>291</v>
      </c>
      <c r="B126" t="str">
        <f t="shared" si="1"/>
        <v>Wikirate International e.V.+Report formatKrones AG</v>
      </c>
      <c r="C126" t="s">
        <v>242</v>
      </c>
      <c r="D126" t="s">
        <v>168</v>
      </c>
      <c r="E126">
        <v>2024</v>
      </c>
      <c r="F126" t="s">
        <v>243</v>
      </c>
      <c r="G126" t="s">
        <v>169</v>
      </c>
      <c r="H126">
        <v>22211484</v>
      </c>
      <c r="J126">
        <v>2</v>
      </c>
      <c r="K126" t="s">
        <v>292</v>
      </c>
    </row>
    <row r="127" spans="1:11">
      <c r="A127" t="s">
        <v>293</v>
      </c>
      <c r="B127" t="str">
        <f t="shared" si="1"/>
        <v>Wikirate International e.V.+Report formatHenkel AG &amp; Co. KGaA</v>
      </c>
      <c r="C127" t="s">
        <v>242</v>
      </c>
      <c r="D127" t="s">
        <v>172</v>
      </c>
      <c r="E127">
        <v>2024</v>
      </c>
      <c r="F127" t="s">
        <v>246</v>
      </c>
      <c r="G127" t="s">
        <v>173</v>
      </c>
      <c r="H127">
        <v>22211662</v>
      </c>
      <c r="I127" t="s">
        <v>174</v>
      </c>
      <c r="J127">
        <v>1</v>
      </c>
      <c r="K127" t="s">
        <v>294</v>
      </c>
    </row>
    <row r="128" spans="1:11">
      <c r="A128" t="s">
        <v>295</v>
      </c>
      <c r="B128" t="str">
        <f t="shared" si="1"/>
        <v>Wikirate International e.V.+Report formatEnBW-Energie Baden-Wuerttemberg</v>
      </c>
      <c r="C128" t="s">
        <v>242</v>
      </c>
      <c r="D128" t="s">
        <v>177</v>
      </c>
      <c r="E128">
        <v>2024</v>
      </c>
      <c r="F128" t="s">
        <v>252</v>
      </c>
      <c r="G128" t="s">
        <v>178</v>
      </c>
      <c r="H128">
        <v>22218134</v>
      </c>
      <c r="I128" t="s">
        <v>179</v>
      </c>
      <c r="J128">
        <v>1</v>
      </c>
      <c r="K128" t="s">
        <v>1537</v>
      </c>
    </row>
    <row r="129" spans="1:11">
      <c r="A129" t="s">
        <v>296</v>
      </c>
      <c r="B129" t="str">
        <f t="shared" si="1"/>
        <v>Wikirate International e.V.+Report formatHensoldt AG</v>
      </c>
      <c r="C129" t="s">
        <v>242</v>
      </c>
      <c r="D129" t="s">
        <v>208</v>
      </c>
      <c r="E129">
        <v>2024</v>
      </c>
      <c r="F129" t="s">
        <v>246</v>
      </c>
      <c r="G129" t="s">
        <v>297</v>
      </c>
      <c r="H129">
        <v>22218510</v>
      </c>
      <c r="J129">
        <v>1</v>
      </c>
    </row>
    <row r="130" spans="1:11">
      <c r="A130" t="s">
        <v>298</v>
      </c>
      <c r="B130" t="str">
        <f t="shared" si="1"/>
        <v>Wikirate International e.V.+Report formatD√ºrr Group</v>
      </c>
      <c r="C130" t="s">
        <v>242</v>
      </c>
      <c r="D130" t="s">
        <v>191</v>
      </c>
      <c r="E130">
        <v>2024</v>
      </c>
      <c r="F130" t="s">
        <v>246</v>
      </c>
      <c r="G130" t="s">
        <v>299</v>
      </c>
      <c r="H130">
        <v>22218515</v>
      </c>
      <c r="I130" t="s">
        <v>300</v>
      </c>
      <c r="J130">
        <v>1</v>
      </c>
    </row>
    <row r="131" spans="1:11">
      <c r="A131" t="s">
        <v>301</v>
      </c>
      <c r="B131" t="str">
        <f t="shared" si="1"/>
        <v>Wikirate International e.V.+Report formatHELLA GMBH &amp; CO. KGAA</v>
      </c>
      <c r="C131" t="s">
        <v>242</v>
      </c>
      <c r="D131" t="s">
        <v>187</v>
      </c>
      <c r="E131">
        <v>2024</v>
      </c>
      <c r="F131" t="s">
        <v>246</v>
      </c>
      <c r="G131" t="s">
        <v>188</v>
      </c>
      <c r="H131">
        <v>22218785</v>
      </c>
      <c r="I131" t="s">
        <v>189</v>
      </c>
      <c r="J131">
        <v>2</v>
      </c>
    </row>
    <row r="132" spans="1:11">
      <c r="A132" t="s">
        <v>302</v>
      </c>
      <c r="B132" t="str">
        <f t="shared" si="1"/>
        <v>Wikirate International e.V.+Report formatDeere &amp; Co</v>
      </c>
      <c r="C132" t="s">
        <v>242</v>
      </c>
      <c r="D132" t="s">
        <v>197</v>
      </c>
      <c r="E132">
        <v>2024</v>
      </c>
      <c r="F132" t="s">
        <v>246</v>
      </c>
      <c r="G132" t="s">
        <v>303</v>
      </c>
      <c r="H132">
        <v>22218885</v>
      </c>
      <c r="J132">
        <v>2</v>
      </c>
    </row>
    <row r="133" spans="1:11">
      <c r="A133" t="s">
        <v>304</v>
      </c>
      <c r="B133" t="str">
        <f t="shared" si="1"/>
        <v>Wikirate International e.V.+Report formatAmprion GmbH</v>
      </c>
      <c r="C133" t="s">
        <v>242</v>
      </c>
      <c r="D133" t="s">
        <v>182</v>
      </c>
      <c r="E133">
        <v>2024</v>
      </c>
      <c r="F133" t="s">
        <v>246</v>
      </c>
      <c r="G133" t="s">
        <v>183</v>
      </c>
      <c r="H133">
        <v>22218978</v>
      </c>
      <c r="I133" t="s">
        <v>184</v>
      </c>
      <c r="J133">
        <v>2</v>
      </c>
    </row>
    <row r="134" spans="1:11">
      <c r="A134" t="s">
        <v>305</v>
      </c>
      <c r="B134" t="str">
        <f t="shared" si="1"/>
        <v>Wikirate International e.V.+Report formatBoehringer Ingelheim GmbH</v>
      </c>
      <c r="C134" t="s">
        <v>242</v>
      </c>
      <c r="D134" t="s">
        <v>201</v>
      </c>
      <c r="E134">
        <v>2024</v>
      </c>
      <c r="F134" t="s">
        <v>246</v>
      </c>
      <c r="G134" t="s">
        <v>306</v>
      </c>
      <c r="H134">
        <v>22219088</v>
      </c>
      <c r="J134">
        <v>2</v>
      </c>
    </row>
    <row r="135" spans="1:11">
      <c r="A135" t="s">
        <v>307</v>
      </c>
      <c r="B135" t="str">
        <f t="shared" ref="B135:B198" si="2">C135&amp;D135</f>
        <v>Wikirate International e.V.+Report formatRheinmetall AG</v>
      </c>
      <c r="C135" t="s">
        <v>242</v>
      </c>
      <c r="D135" t="s">
        <v>79</v>
      </c>
      <c r="E135">
        <v>2024</v>
      </c>
      <c r="F135" t="s">
        <v>246</v>
      </c>
      <c r="G135" t="s">
        <v>80</v>
      </c>
      <c r="H135">
        <v>22219501</v>
      </c>
      <c r="J135">
        <v>1</v>
      </c>
    </row>
    <row r="136" spans="1:11">
      <c r="A136" t="s">
        <v>308</v>
      </c>
      <c r="B136" t="str">
        <f t="shared" si="2"/>
        <v>Wikirate International e.V.+Report formatUniper SE</v>
      </c>
      <c r="C136" t="s">
        <v>242</v>
      </c>
      <c r="D136" t="s">
        <v>83</v>
      </c>
      <c r="E136">
        <v>2024</v>
      </c>
      <c r="F136" t="s">
        <v>246</v>
      </c>
      <c r="G136" t="s">
        <v>84</v>
      </c>
      <c r="H136">
        <v>22219687</v>
      </c>
      <c r="J136">
        <v>1</v>
      </c>
    </row>
    <row r="137" spans="1:11">
      <c r="A137" t="s">
        <v>309</v>
      </c>
      <c r="B137" t="str">
        <f t="shared" si="2"/>
        <v>Wikirate International e.V.+Report formatSiemens Energy AG</v>
      </c>
      <c r="C137" t="s">
        <v>242</v>
      </c>
      <c r="D137" t="s">
        <v>71</v>
      </c>
      <c r="E137">
        <v>2024</v>
      </c>
      <c r="F137" t="s">
        <v>246</v>
      </c>
      <c r="G137" t="s">
        <v>72</v>
      </c>
      <c r="H137">
        <v>22245983</v>
      </c>
      <c r="J137">
        <v>1</v>
      </c>
    </row>
    <row r="138" spans="1:11">
      <c r="A138" t="s">
        <v>310</v>
      </c>
      <c r="B138" t="str">
        <f t="shared" si="2"/>
        <v>Wikirate International e.V.+Report format50Hertz Transmission</v>
      </c>
      <c r="C138" t="s">
        <v>242</v>
      </c>
      <c r="D138" t="s">
        <v>68</v>
      </c>
      <c r="E138">
        <v>2024</v>
      </c>
      <c r="F138" t="s">
        <v>246</v>
      </c>
      <c r="G138" t="s">
        <v>69</v>
      </c>
      <c r="H138">
        <v>22246082</v>
      </c>
      <c r="J138">
        <v>2</v>
      </c>
      <c r="K138" t="s">
        <v>311</v>
      </c>
    </row>
    <row r="139" spans="1:11">
      <c r="A139" t="s">
        <v>312</v>
      </c>
      <c r="B139" t="str">
        <f t="shared" si="2"/>
        <v>Wikirate International e.V.+Report formatKION Group</v>
      </c>
      <c r="C139" t="s">
        <v>242</v>
      </c>
      <c r="D139" t="s">
        <v>65</v>
      </c>
      <c r="E139">
        <v>2024</v>
      </c>
      <c r="F139" t="s">
        <v>252</v>
      </c>
      <c r="G139" t="s">
        <v>66</v>
      </c>
      <c r="H139">
        <v>22246198</v>
      </c>
      <c r="J139">
        <v>2</v>
      </c>
      <c r="K139" t="s">
        <v>1538</v>
      </c>
    </row>
    <row r="140" spans="1:11">
      <c r="A140" t="s">
        <v>313</v>
      </c>
      <c r="B140" t="str">
        <f t="shared" si="2"/>
        <v>Wikirate International e.V.+Report formatStadtwerke Munchen GmbH</v>
      </c>
      <c r="C140" t="s">
        <v>242</v>
      </c>
      <c r="D140" t="s">
        <v>61</v>
      </c>
      <c r="E140">
        <v>2024</v>
      </c>
      <c r="F140" t="s">
        <v>246</v>
      </c>
      <c r="G140" t="s">
        <v>62</v>
      </c>
      <c r="H140">
        <v>22246453</v>
      </c>
      <c r="J140">
        <v>1</v>
      </c>
      <c r="K140" t="s">
        <v>314</v>
      </c>
    </row>
    <row r="141" spans="1:11">
      <c r="A141" t="s">
        <v>315</v>
      </c>
      <c r="B141" t="str">
        <f t="shared" si="2"/>
        <v>Wikirate International e.V.+Report formatLockheed Martin</v>
      </c>
      <c r="C141" t="s">
        <v>242</v>
      </c>
      <c r="D141" t="s">
        <v>38</v>
      </c>
      <c r="E141">
        <v>2024</v>
      </c>
      <c r="F141" t="s">
        <v>243</v>
      </c>
      <c r="G141" t="s">
        <v>39</v>
      </c>
      <c r="H141">
        <v>22246498</v>
      </c>
      <c r="J141">
        <v>2</v>
      </c>
      <c r="K141" t="s">
        <v>1539</v>
      </c>
    </row>
    <row r="142" spans="1:11">
      <c r="A142" t="s">
        <v>316</v>
      </c>
      <c r="B142" t="str">
        <f t="shared" si="2"/>
        <v>Wikirate International e.V.+Report formatDiehl Stiftung &amp; Co. KG</v>
      </c>
      <c r="C142" t="s">
        <v>242</v>
      </c>
      <c r="D142" t="s">
        <v>53</v>
      </c>
      <c r="E142">
        <v>2024</v>
      </c>
      <c r="F142" t="s">
        <v>246</v>
      </c>
      <c r="G142" t="s">
        <v>225</v>
      </c>
      <c r="H142">
        <v>22246586</v>
      </c>
      <c r="J142">
        <v>1</v>
      </c>
    </row>
    <row r="143" spans="1:11">
      <c r="A143" t="s">
        <v>317</v>
      </c>
      <c r="B143" t="str">
        <f t="shared" si="2"/>
        <v>Wikirate International e.V.+Report formatMerck KGaA</v>
      </c>
      <c r="C143" t="s">
        <v>242</v>
      </c>
      <c r="D143" t="s">
        <v>49</v>
      </c>
      <c r="E143">
        <v>2024</v>
      </c>
      <c r="F143" t="s">
        <v>243</v>
      </c>
      <c r="G143" t="s">
        <v>50</v>
      </c>
      <c r="H143">
        <v>22246726</v>
      </c>
      <c r="J143">
        <v>2</v>
      </c>
    </row>
    <row r="144" spans="1:11">
      <c r="A144" t="s">
        <v>318</v>
      </c>
      <c r="B144" t="str">
        <f t="shared" si="2"/>
        <v>Wikirate International e.V.+Report formatEvonik</v>
      </c>
      <c r="C144" t="s">
        <v>242</v>
      </c>
      <c r="D144" t="s">
        <v>45</v>
      </c>
      <c r="E144">
        <v>2024</v>
      </c>
      <c r="F144" t="s">
        <v>246</v>
      </c>
      <c r="G144" t="s">
        <v>46</v>
      </c>
      <c r="H144">
        <v>22246829</v>
      </c>
      <c r="J144">
        <v>1</v>
      </c>
      <c r="K144" t="s">
        <v>319</v>
      </c>
    </row>
    <row r="145" spans="1:11">
      <c r="A145" t="s">
        <v>320</v>
      </c>
      <c r="B145" t="str">
        <f t="shared" si="2"/>
        <v>Wikirate International e.V.+Report formatKNDS Group</v>
      </c>
      <c r="C145" t="s">
        <v>242</v>
      </c>
      <c r="D145" t="s">
        <v>42</v>
      </c>
      <c r="E145">
        <v>2024</v>
      </c>
      <c r="F145" t="s">
        <v>321</v>
      </c>
      <c r="G145" t="s">
        <v>43</v>
      </c>
      <c r="H145">
        <v>22246974</v>
      </c>
      <c r="J145">
        <v>1</v>
      </c>
    </row>
    <row r="146" spans="1:11">
      <c r="A146" t="s">
        <v>322</v>
      </c>
      <c r="B146" t="str">
        <f t="shared" si="2"/>
        <v>Wikirate International e.V.+Report formatLeonardo</v>
      </c>
      <c r="C146" t="s">
        <v>242</v>
      </c>
      <c r="D146" t="s">
        <v>33</v>
      </c>
      <c r="E146">
        <v>2024</v>
      </c>
      <c r="F146" t="s">
        <v>246</v>
      </c>
      <c r="G146" t="s">
        <v>34</v>
      </c>
      <c r="H146">
        <v>22247153</v>
      </c>
      <c r="I146" t="s">
        <v>35</v>
      </c>
      <c r="J146">
        <v>2</v>
      </c>
      <c r="K146" t="s">
        <v>1540</v>
      </c>
    </row>
    <row r="147" spans="1:11">
      <c r="A147" t="s">
        <v>323</v>
      </c>
      <c r="B147" t="str">
        <f t="shared" si="2"/>
        <v>Wikirate International e.V.+Report formatGelsenwasser</v>
      </c>
      <c r="C147" t="s">
        <v>242</v>
      </c>
      <c r="D147" t="s">
        <v>29</v>
      </c>
      <c r="E147">
        <v>2024</v>
      </c>
      <c r="F147" t="s">
        <v>246</v>
      </c>
      <c r="G147" t="s">
        <v>30</v>
      </c>
      <c r="H147">
        <v>22247758</v>
      </c>
      <c r="J147">
        <v>1</v>
      </c>
    </row>
    <row r="148" spans="1:11">
      <c r="A148" t="s">
        <v>324</v>
      </c>
      <c r="B148" t="str">
        <f t="shared" si="2"/>
        <v>Wikirate International e.V.+Report formatWacker Chemie</v>
      </c>
      <c r="C148" t="s">
        <v>242</v>
      </c>
      <c r="D148" t="s">
        <v>24</v>
      </c>
      <c r="E148">
        <v>2024</v>
      </c>
      <c r="F148" t="s">
        <v>246</v>
      </c>
      <c r="G148" t="s">
        <v>25</v>
      </c>
      <c r="H148">
        <v>22249865</v>
      </c>
      <c r="I148" t="s">
        <v>26</v>
      </c>
      <c r="J148">
        <v>1</v>
      </c>
    </row>
    <row r="149" spans="1:11">
      <c r="A149" t="s">
        <v>325</v>
      </c>
      <c r="B149" t="str">
        <f t="shared" si="2"/>
        <v>Wikirate International e.V.+Report formatTh√ºga Holding</v>
      </c>
      <c r="C149" t="s">
        <v>242</v>
      </c>
      <c r="D149" t="s">
        <v>20</v>
      </c>
      <c r="E149">
        <v>2024</v>
      </c>
      <c r="F149" t="s">
        <v>246</v>
      </c>
      <c r="G149" t="s">
        <v>1534</v>
      </c>
      <c r="H149">
        <v>22250722</v>
      </c>
      <c r="J149">
        <v>2</v>
      </c>
      <c r="K149" t="s">
        <v>326</v>
      </c>
    </row>
    <row r="150" spans="1:11">
      <c r="A150" t="s">
        <v>327</v>
      </c>
      <c r="B150" t="str">
        <f t="shared" si="2"/>
        <v>Wikirate International e.V.+Entity identificationBMW AG</v>
      </c>
      <c r="C150" t="s">
        <v>328</v>
      </c>
      <c r="D150" t="s">
        <v>92</v>
      </c>
      <c r="E150">
        <v>2024</v>
      </c>
      <c r="F150" t="s">
        <v>21</v>
      </c>
      <c r="G150" t="s">
        <v>329</v>
      </c>
      <c r="H150">
        <v>21483499</v>
      </c>
      <c r="I150" t="s">
        <v>330</v>
      </c>
      <c r="J150">
        <v>1</v>
      </c>
      <c r="K150" t="s">
        <v>331</v>
      </c>
    </row>
    <row r="151" spans="1:11">
      <c r="A151" t="s">
        <v>332</v>
      </c>
      <c r="B151" t="str">
        <f t="shared" si="2"/>
        <v>Wikirate International e.V.+Entity identificationAirbus Group</v>
      </c>
      <c r="C151" t="s">
        <v>328</v>
      </c>
      <c r="D151" t="s">
        <v>74</v>
      </c>
      <c r="E151">
        <v>2024</v>
      </c>
      <c r="F151" t="s">
        <v>21</v>
      </c>
      <c r="G151" t="s">
        <v>333</v>
      </c>
      <c r="H151">
        <v>21484353</v>
      </c>
      <c r="J151">
        <v>1</v>
      </c>
      <c r="K151" t="s">
        <v>334</v>
      </c>
    </row>
    <row r="152" spans="1:11">
      <c r="A152" t="s">
        <v>335</v>
      </c>
      <c r="B152" t="str">
        <f t="shared" si="2"/>
        <v>Wikirate International e.V.+Entity identificationMercedes-Benz AG</v>
      </c>
      <c r="C152" t="s">
        <v>328</v>
      </c>
      <c r="D152" t="s">
        <v>102</v>
      </c>
      <c r="E152">
        <v>2024</v>
      </c>
      <c r="F152" t="s">
        <v>336</v>
      </c>
      <c r="G152" t="s">
        <v>249</v>
      </c>
      <c r="H152">
        <v>21484825</v>
      </c>
      <c r="I152" t="s">
        <v>250</v>
      </c>
      <c r="J152">
        <v>1</v>
      </c>
      <c r="K152" t="s">
        <v>337</v>
      </c>
    </row>
    <row r="153" spans="1:11">
      <c r="A153" t="s">
        <v>338</v>
      </c>
      <c r="B153" t="str">
        <f t="shared" si="2"/>
        <v>Wikirate International e.V.+Entity identificationBASF SE</v>
      </c>
      <c r="C153" t="s">
        <v>328</v>
      </c>
      <c r="D153" t="s">
        <v>108</v>
      </c>
      <c r="E153">
        <v>2024</v>
      </c>
      <c r="F153" t="s">
        <v>336</v>
      </c>
      <c r="G153" t="s">
        <v>339</v>
      </c>
      <c r="H153">
        <v>21484904</v>
      </c>
      <c r="I153" t="s">
        <v>340</v>
      </c>
      <c r="J153">
        <v>1</v>
      </c>
      <c r="K153" t="s">
        <v>1541</v>
      </c>
    </row>
    <row r="154" spans="1:11">
      <c r="A154" t="s">
        <v>341</v>
      </c>
      <c r="B154" t="str">
        <f t="shared" si="2"/>
        <v>Wikirate International e.V.+Entity identificationVolkswagen AG</v>
      </c>
      <c r="C154" t="s">
        <v>328</v>
      </c>
      <c r="D154" t="s">
        <v>112</v>
      </c>
      <c r="E154">
        <v>2024</v>
      </c>
      <c r="F154" t="s">
        <v>336</v>
      </c>
      <c r="G154" t="s">
        <v>342</v>
      </c>
      <c r="H154">
        <v>21485282</v>
      </c>
      <c r="I154" t="s">
        <v>343</v>
      </c>
      <c r="J154">
        <v>1</v>
      </c>
      <c r="K154" t="s">
        <v>344</v>
      </c>
    </row>
    <row r="155" spans="1:11">
      <c r="A155" t="s">
        <v>345</v>
      </c>
      <c r="B155" t="str">
        <f t="shared" si="2"/>
        <v>Wikirate International e.V.+Entity identificationE.ON SE</v>
      </c>
      <c r="C155" t="s">
        <v>328</v>
      </c>
      <c r="D155" t="s">
        <v>57</v>
      </c>
      <c r="E155">
        <v>2024</v>
      </c>
      <c r="F155" t="s">
        <v>21</v>
      </c>
      <c r="G155" t="s">
        <v>58</v>
      </c>
      <c r="H155">
        <v>21486498</v>
      </c>
      <c r="J155">
        <v>1</v>
      </c>
      <c r="K155" t="s">
        <v>346</v>
      </c>
    </row>
    <row r="156" spans="1:11">
      <c r="A156" t="s">
        <v>347</v>
      </c>
      <c r="B156" t="str">
        <f t="shared" si="2"/>
        <v>Wikirate International e.V.+Entity identificationBayer AG</v>
      </c>
      <c r="C156" t="s">
        <v>328</v>
      </c>
      <c r="D156" t="s">
        <v>87</v>
      </c>
      <c r="E156">
        <v>2024</v>
      </c>
      <c r="F156" t="s">
        <v>336</v>
      </c>
      <c r="G156" t="s">
        <v>88</v>
      </c>
      <c r="H156">
        <v>21486636</v>
      </c>
      <c r="J156">
        <v>1</v>
      </c>
      <c r="K156" t="s">
        <v>1542</v>
      </c>
    </row>
    <row r="157" spans="1:11">
      <c r="A157" t="s">
        <v>348</v>
      </c>
      <c r="B157" t="str">
        <f t="shared" si="2"/>
        <v>Wikirate International e.V.+Entity identificationRWE Group</v>
      </c>
      <c r="C157" t="s">
        <v>328</v>
      </c>
      <c r="D157" t="s">
        <v>14</v>
      </c>
      <c r="E157">
        <v>2024</v>
      </c>
      <c r="F157" t="s">
        <v>21</v>
      </c>
      <c r="G157" t="s">
        <v>349</v>
      </c>
      <c r="H157">
        <v>21487416</v>
      </c>
      <c r="J157">
        <v>1</v>
      </c>
    </row>
    <row r="158" spans="1:11">
      <c r="A158" t="s">
        <v>350</v>
      </c>
      <c r="B158" t="str">
        <f t="shared" si="2"/>
        <v>Wikirate International e.V.+Entity identificationDaimler Truck AG</v>
      </c>
      <c r="C158" t="s">
        <v>328</v>
      </c>
      <c r="D158" t="s">
        <v>118</v>
      </c>
      <c r="E158">
        <v>2024</v>
      </c>
      <c r="F158" t="s">
        <v>21</v>
      </c>
      <c r="G158" t="s">
        <v>119</v>
      </c>
      <c r="H158">
        <v>21487961</v>
      </c>
      <c r="I158" t="s">
        <v>120</v>
      </c>
      <c r="J158">
        <v>1</v>
      </c>
    </row>
    <row r="159" spans="1:11">
      <c r="A159" t="s">
        <v>351</v>
      </c>
      <c r="B159" t="str">
        <f t="shared" si="2"/>
        <v>Wikirate International e.V.+Entity identificationJenoptik AG</v>
      </c>
      <c r="C159" t="s">
        <v>328</v>
      </c>
      <c r="D159" t="s">
        <v>123</v>
      </c>
      <c r="E159">
        <v>2024</v>
      </c>
      <c r="F159" t="s">
        <v>21</v>
      </c>
      <c r="G159" t="s">
        <v>261</v>
      </c>
      <c r="H159">
        <v>21488102</v>
      </c>
      <c r="J159">
        <v>1</v>
      </c>
    </row>
    <row r="160" spans="1:11">
      <c r="A160" t="s">
        <v>352</v>
      </c>
      <c r="B160" t="str">
        <f t="shared" si="2"/>
        <v>Wikirate International e.V.+Entity identificationContinental AG</v>
      </c>
      <c r="C160" t="s">
        <v>328</v>
      </c>
      <c r="D160" t="s">
        <v>126</v>
      </c>
      <c r="E160">
        <v>2024</v>
      </c>
      <c r="F160" t="s">
        <v>21</v>
      </c>
      <c r="G160" t="s">
        <v>353</v>
      </c>
      <c r="H160">
        <v>22205733</v>
      </c>
      <c r="I160" t="s">
        <v>354</v>
      </c>
      <c r="J160">
        <v>1</v>
      </c>
      <c r="K160" t="s">
        <v>355</v>
      </c>
    </row>
    <row r="161" spans="1:11">
      <c r="A161" t="s">
        <v>356</v>
      </c>
      <c r="B161" t="str">
        <f t="shared" si="2"/>
        <v>Wikirate International e.V.+Entity identificationThyssenKrupp Group</v>
      </c>
      <c r="C161" t="s">
        <v>328</v>
      </c>
      <c r="D161" t="s">
        <v>129</v>
      </c>
      <c r="E161">
        <v>2024</v>
      </c>
      <c r="F161" t="s">
        <v>21</v>
      </c>
      <c r="G161" t="s">
        <v>265</v>
      </c>
      <c r="H161">
        <v>22206245</v>
      </c>
      <c r="I161" t="s">
        <v>266</v>
      </c>
      <c r="J161">
        <v>1</v>
      </c>
    </row>
    <row r="162" spans="1:11">
      <c r="A162" t="s">
        <v>357</v>
      </c>
      <c r="B162" t="str">
        <f t="shared" si="2"/>
        <v>Wikirate International e.V.+Entity identificationHelm AG</v>
      </c>
      <c r="C162" t="s">
        <v>328</v>
      </c>
      <c r="D162" t="s">
        <v>132</v>
      </c>
      <c r="E162">
        <v>2024</v>
      </c>
      <c r="F162" t="s">
        <v>21</v>
      </c>
      <c r="G162" t="s">
        <v>268</v>
      </c>
      <c r="H162">
        <v>22206417</v>
      </c>
      <c r="J162">
        <v>1</v>
      </c>
    </row>
    <row r="163" spans="1:11">
      <c r="A163" t="s">
        <v>358</v>
      </c>
      <c r="B163" t="str">
        <f t="shared" si="2"/>
        <v>Wikirate International e.V.+Entity identificationSiemens AG</v>
      </c>
      <c r="C163" t="s">
        <v>328</v>
      </c>
      <c r="D163" t="s">
        <v>148</v>
      </c>
      <c r="E163">
        <v>2024</v>
      </c>
      <c r="F163" t="s">
        <v>21</v>
      </c>
      <c r="G163" t="s">
        <v>270</v>
      </c>
      <c r="H163">
        <v>22206428</v>
      </c>
      <c r="J163">
        <v>1</v>
      </c>
    </row>
    <row r="164" spans="1:11">
      <c r="A164" t="s">
        <v>359</v>
      </c>
      <c r="B164" t="str">
        <f t="shared" si="2"/>
        <v>Wikirate International e.V.+Entity identificationGEA Group</v>
      </c>
      <c r="C164" t="s">
        <v>328</v>
      </c>
      <c r="D164" t="s">
        <v>135</v>
      </c>
      <c r="E164">
        <v>2024</v>
      </c>
      <c r="F164" t="s">
        <v>21</v>
      </c>
      <c r="G164" t="s">
        <v>360</v>
      </c>
      <c r="H164">
        <v>22207007</v>
      </c>
      <c r="J164">
        <v>1</v>
      </c>
    </row>
    <row r="165" spans="1:11">
      <c r="A165" t="s">
        <v>361</v>
      </c>
      <c r="B165" t="str">
        <f t="shared" si="2"/>
        <v>Wikirate International e.V.+Entity identificationSchaeffler Technologies</v>
      </c>
      <c r="C165" t="s">
        <v>328</v>
      </c>
      <c r="D165" t="s">
        <v>1618</v>
      </c>
      <c r="E165">
        <v>2024</v>
      </c>
      <c r="F165" t="s">
        <v>336</v>
      </c>
      <c r="G165" t="s">
        <v>281</v>
      </c>
      <c r="H165">
        <v>22207078</v>
      </c>
      <c r="J165">
        <v>1</v>
      </c>
      <c r="K165" t="s">
        <v>1543</v>
      </c>
    </row>
    <row r="166" spans="1:11">
      <c r="A166" t="s">
        <v>362</v>
      </c>
      <c r="B166" t="str">
        <f t="shared" si="2"/>
        <v>Wikirate International e.V.+Entity identificationRobert Bosch GmbH</v>
      </c>
      <c r="C166" t="s">
        <v>328</v>
      </c>
      <c r="D166" t="s">
        <v>138</v>
      </c>
      <c r="E166">
        <v>2024</v>
      </c>
      <c r="F166" t="s">
        <v>21</v>
      </c>
      <c r="G166" t="s">
        <v>273</v>
      </c>
      <c r="H166">
        <v>22208565</v>
      </c>
      <c r="I166" t="s">
        <v>274</v>
      </c>
      <c r="J166">
        <v>1</v>
      </c>
    </row>
    <row r="167" spans="1:11">
      <c r="A167" t="s">
        <v>363</v>
      </c>
      <c r="B167" t="str">
        <f t="shared" si="2"/>
        <v>Wikirate International e.V.+Entity identificationMahle GmbH</v>
      </c>
      <c r="C167" t="s">
        <v>328</v>
      </c>
      <c r="D167" t="s">
        <v>142</v>
      </c>
      <c r="E167">
        <v>2024</v>
      </c>
      <c r="F167" t="s">
        <v>21</v>
      </c>
      <c r="G167" t="s">
        <v>276</v>
      </c>
      <c r="H167">
        <v>22208689</v>
      </c>
      <c r="J167">
        <v>1</v>
      </c>
    </row>
    <row r="168" spans="1:11">
      <c r="A168" t="s">
        <v>364</v>
      </c>
      <c r="B168" t="str">
        <f t="shared" si="2"/>
        <v>Wikirate International e.V.+Entity identificationVoith</v>
      </c>
      <c r="C168" t="s">
        <v>328</v>
      </c>
      <c r="D168" t="s">
        <v>145</v>
      </c>
      <c r="E168">
        <v>2024</v>
      </c>
      <c r="F168" t="s">
        <v>21</v>
      </c>
      <c r="G168" t="s">
        <v>278</v>
      </c>
      <c r="H168">
        <v>22208973</v>
      </c>
      <c r="I168" t="s">
        <v>279</v>
      </c>
      <c r="J168">
        <v>1</v>
      </c>
    </row>
    <row r="169" spans="1:11">
      <c r="A169" t="s">
        <v>365</v>
      </c>
      <c r="B169" t="str">
        <f t="shared" si="2"/>
        <v>Wikirate International e.V.+Entity identificationZF Friedrichshafen</v>
      </c>
      <c r="C169" t="s">
        <v>328</v>
      </c>
      <c r="D169" t="s">
        <v>152</v>
      </c>
      <c r="E169">
        <v>2024</v>
      </c>
      <c r="F169" t="s">
        <v>21</v>
      </c>
      <c r="G169" t="s">
        <v>283</v>
      </c>
      <c r="H169">
        <v>22209245</v>
      </c>
      <c r="J169">
        <v>1</v>
      </c>
    </row>
    <row r="170" spans="1:11">
      <c r="A170" t="s">
        <v>366</v>
      </c>
      <c r="B170" t="str">
        <f t="shared" si="2"/>
        <v>Wikirate International e.V.+Entity identificationJungheinrich AG</v>
      </c>
      <c r="C170" t="s">
        <v>328</v>
      </c>
      <c r="D170" t="s">
        <v>155</v>
      </c>
      <c r="E170">
        <v>2024</v>
      </c>
      <c r="F170" t="s">
        <v>336</v>
      </c>
      <c r="G170" t="s">
        <v>285</v>
      </c>
      <c r="H170">
        <v>22209365</v>
      </c>
      <c r="J170">
        <v>1</v>
      </c>
      <c r="K170" t="s">
        <v>1544</v>
      </c>
    </row>
    <row r="171" spans="1:11">
      <c r="A171" t="s">
        <v>367</v>
      </c>
      <c r="B171" t="str">
        <f t="shared" si="2"/>
        <v>Wikirate International e.V.+Entity identificationD√ºrr Group</v>
      </c>
      <c r="C171" t="s">
        <v>328</v>
      </c>
      <c r="D171" t="s">
        <v>191</v>
      </c>
      <c r="E171">
        <v>2024</v>
      </c>
      <c r="F171" t="s">
        <v>21</v>
      </c>
      <c r="G171" t="s">
        <v>299</v>
      </c>
      <c r="H171">
        <v>22210534</v>
      </c>
      <c r="I171" t="s">
        <v>300</v>
      </c>
      <c r="J171">
        <v>1</v>
      </c>
      <c r="K171" t="s">
        <v>368</v>
      </c>
    </row>
    <row r="172" spans="1:11">
      <c r="A172" t="s">
        <v>369</v>
      </c>
      <c r="B172" t="str">
        <f t="shared" si="2"/>
        <v>Wikirate International e.V.+Entity identificationCovestro</v>
      </c>
      <c r="C172" t="s">
        <v>328</v>
      </c>
      <c r="D172" t="s">
        <v>164</v>
      </c>
      <c r="E172">
        <v>2024</v>
      </c>
      <c r="F172" t="s">
        <v>21</v>
      </c>
      <c r="G172" t="s">
        <v>289</v>
      </c>
      <c r="H172">
        <v>22211039</v>
      </c>
      <c r="I172" t="s">
        <v>290</v>
      </c>
      <c r="J172">
        <v>1</v>
      </c>
    </row>
    <row r="173" spans="1:11">
      <c r="A173" t="s">
        <v>370</v>
      </c>
      <c r="B173" t="str">
        <f t="shared" si="2"/>
        <v>Wikirate International e.V.+Entity identificationKrones AG</v>
      </c>
      <c r="C173" t="s">
        <v>328</v>
      </c>
      <c r="D173" t="s">
        <v>168</v>
      </c>
      <c r="E173">
        <v>2024</v>
      </c>
      <c r="F173" t="s">
        <v>21</v>
      </c>
      <c r="G173" t="s">
        <v>371</v>
      </c>
      <c r="H173">
        <v>22211561</v>
      </c>
      <c r="J173">
        <v>1</v>
      </c>
      <c r="K173" t="s">
        <v>372</v>
      </c>
    </row>
    <row r="174" spans="1:11">
      <c r="A174" t="s">
        <v>373</v>
      </c>
      <c r="B174" t="str">
        <f t="shared" si="2"/>
        <v>Wikirate International e.V.+Entity identificationHenkel AG &amp; Co. KGaA</v>
      </c>
      <c r="C174" t="s">
        <v>328</v>
      </c>
      <c r="D174" t="s">
        <v>172</v>
      </c>
      <c r="E174">
        <v>2024</v>
      </c>
      <c r="F174" t="s">
        <v>21</v>
      </c>
      <c r="G174" t="s">
        <v>374</v>
      </c>
      <c r="H174">
        <v>22211698</v>
      </c>
      <c r="I174" t="s">
        <v>375</v>
      </c>
      <c r="J174">
        <v>1</v>
      </c>
    </row>
    <row r="175" spans="1:11">
      <c r="A175" t="s">
        <v>376</v>
      </c>
      <c r="B175" t="str">
        <f t="shared" si="2"/>
        <v>Wikirate International e.V.+Entity identificationEnBW-Energie Baden-Wuerttemberg</v>
      </c>
      <c r="C175" t="s">
        <v>328</v>
      </c>
      <c r="D175" t="s">
        <v>177</v>
      </c>
      <c r="E175">
        <v>2024</v>
      </c>
      <c r="F175" t="s">
        <v>336</v>
      </c>
      <c r="G175" t="s">
        <v>377</v>
      </c>
      <c r="H175">
        <v>22218170</v>
      </c>
      <c r="J175">
        <v>1</v>
      </c>
      <c r="K175" t="s">
        <v>378</v>
      </c>
    </row>
    <row r="176" spans="1:11">
      <c r="A176" t="s">
        <v>379</v>
      </c>
      <c r="B176" t="str">
        <f t="shared" si="2"/>
        <v>Wikirate International e.V.+Entity identificationHensoldt AG</v>
      </c>
      <c r="C176" t="s">
        <v>328</v>
      </c>
      <c r="D176" t="s">
        <v>208</v>
      </c>
      <c r="E176">
        <v>2024</v>
      </c>
      <c r="F176" t="s">
        <v>336</v>
      </c>
      <c r="G176" t="s">
        <v>297</v>
      </c>
      <c r="H176">
        <v>22218471</v>
      </c>
      <c r="J176">
        <v>1</v>
      </c>
      <c r="K176" t="s">
        <v>380</v>
      </c>
    </row>
    <row r="177" spans="1:11">
      <c r="A177" t="s">
        <v>381</v>
      </c>
      <c r="B177" t="str">
        <f t="shared" si="2"/>
        <v>Wikirate International e.V.+Entity identificationLanxess</v>
      </c>
      <c r="C177" t="s">
        <v>328</v>
      </c>
      <c r="D177" t="s">
        <v>194</v>
      </c>
      <c r="E177">
        <v>2024</v>
      </c>
      <c r="F177" t="s">
        <v>21</v>
      </c>
      <c r="G177" t="s">
        <v>287</v>
      </c>
      <c r="H177">
        <v>22218727</v>
      </c>
      <c r="J177">
        <v>1</v>
      </c>
    </row>
    <row r="178" spans="1:11">
      <c r="A178" t="s">
        <v>382</v>
      </c>
      <c r="B178" t="str">
        <f t="shared" si="2"/>
        <v>Wikirate International e.V.+Entity identificationHELLA GMBH &amp; CO. KGAA</v>
      </c>
      <c r="C178" t="s">
        <v>328</v>
      </c>
      <c r="D178" t="s">
        <v>187</v>
      </c>
      <c r="E178">
        <v>2024</v>
      </c>
      <c r="F178" t="s">
        <v>383</v>
      </c>
      <c r="G178" t="s">
        <v>384</v>
      </c>
      <c r="H178">
        <v>22218819</v>
      </c>
      <c r="J178">
        <v>1</v>
      </c>
      <c r="K178" t="s">
        <v>385</v>
      </c>
    </row>
    <row r="179" spans="1:11">
      <c r="A179" t="s">
        <v>386</v>
      </c>
      <c r="B179" t="str">
        <f t="shared" si="2"/>
        <v>Wikirate International e.V.+Entity identificationDeere &amp; Co</v>
      </c>
      <c r="C179" t="s">
        <v>328</v>
      </c>
      <c r="D179" t="s">
        <v>197</v>
      </c>
      <c r="E179">
        <v>2024</v>
      </c>
      <c r="F179" t="s">
        <v>21</v>
      </c>
      <c r="G179" t="s">
        <v>303</v>
      </c>
      <c r="H179">
        <v>22218919</v>
      </c>
      <c r="J179">
        <v>1</v>
      </c>
      <c r="K179" t="s">
        <v>387</v>
      </c>
    </row>
    <row r="180" spans="1:11">
      <c r="A180" t="s">
        <v>388</v>
      </c>
      <c r="B180" t="str">
        <f t="shared" si="2"/>
        <v>Wikirate International e.V.+Entity identificationAmprion GmbH</v>
      </c>
      <c r="C180" t="s">
        <v>328</v>
      </c>
      <c r="D180" t="s">
        <v>182</v>
      </c>
      <c r="E180">
        <v>2024</v>
      </c>
      <c r="F180" t="s">
        <v>21</v>
      </c>
      <c r="G180" t="s">
        <v>389</v>
      </c>
      <c r="H180">
        <v>22218997</v>
      </c>
      <c r="J180">
        <v>1</v>
      </c>
    </row>
    <row r="181" spans="1:11">
      <c r="A181" t="s">
        <v>390</v>
      </c>
      <c r="B181" t="str">
        <f t="shared" si="2"/>
        <v>Wikirate International e.V.+Entity identificationBoehringer Ingelheim GmbH</v>
      </c>
      <c r="C181" t="s">
        <v>328</v>
      </c>
      <c r="D181" t="s">
        <v>201</v>
      </c>
      <c r="E181">
        <v>2024</v>
      </c>
      <c r="F181" t="s">
        <v>21</v>
      </c>
      <c r="G181" t="s">
        <v>306</v>
      </c>
      <c r="H181">
        <v>22219120</v>
      </c>
      <c r="J181">
        <v>1</v>
      </c>
    </row>
    <row r="182" spans="1:11">
      <c r="A182" t="s">
        <v>391</v>
      </c>
      <c r="B182" t="str">
        <f t="shared" si="2"/>
        <v>Wikirate International e.V.+Entity identificationRheinmetall AG</v>
      </c>
      <c r="C182" t="s">
        <v>328</v>
      </c>
      <c r="D182" t="s">
        <v>79</v>
      </c>
      <c r="E182">
        <v>2024</v>
      </c>
      <c r="F182" t="s">
        <v>21</v>
      </c>
      <c r="G182" t="s">
        <v>80</v>
      </c>
      <c r="H182">
        <v>22219629</v>
      </c>
      <c r="J182">
        <v>1</v>
      </c>
    </row>
    <row r="183" spans="1:11">
      <c r="A183" t="s">
        <v>392</v>
      </c>
      <c r="B183" t="str">
        <f t="shared" si="2"/>
        <v>Wikirate International e.V.+Entity identificationUniper SE</v>
      </c>
      <c r="C183" t="s">
        <v>328</v>
      </c>
      <c r="D183" t="s">
        <v>83</v>
      </c>
      <c r="E183">
        <v>2024</v>
      </c>
      <c r="F183" t="s">
        <v>21</v>
      </c>
      <c r="G183" t="s">
        <v>84</v>
      </c>
      <c r="H183">
        <v>22219728</v>
      </c>
      <c r="J183">
        <v>1</v>
      </c>
    </row>
    <row r="184" spans="1:11">
      <c r="A184" t="s">
        <v>393</v>
      </c>
      <c r="B184" t="str">
        <f t="shared" si="2"/>
        <v>Wikirate International e.V.+Entity identificationSiemens Energy AG</v>
      </c>
      <c r="C184" t="s">
        <v>328</v>
      </c>
      <c r="D184" t="s">
        <v>71</v>
      </c>
      <c r="E184">
        <v>2024</v>
      </c>
      <c r="F184" t="s">
        <v>21</v>
      </c>
      <c r="G184" t="s">
        <v>72</v>
      </c>
      <c r="H184">
        <v>22246009</v>
      </c>
      <c r="J184">
        <v>1</v>
      </c>
      <c r="K184" t="s">
        <v>1545</v>
      </c>
    </row>
    <row r="185" spans="1:11">
      <c r="A185" t="s">
        <v>394</v>
      </c>
      <c r="B185" t="str">
        <f t="shared" si="2"/>
        <v>Wikirate International e.V.+Entity identification50Hertz Transmission</v>
      </c>
      <c r="C185" t="s">
        <v>328</v>
      </c>
      <c r="D185" t="s">
        <v>68</v>
      </c>
      <c r="E185">
        <v>2024</v>
      </c>
      <c r="F185" t="s">
        <v>21</v>
      </c>
      <c r="G185" t="s">
        <v>69</v>
      </c>
      <c r="H185">
        <v>22246102</v>
      </c>
      <c r="J185">
        <v>1</v>
      </c>
    </row>
    <row r="186" spans="1:11">
      <c r="A186" t="s">
        <v>395</v>
      </c>
      <c r="B186" t="str">
        <f t="shared" si="2"/>
        <v>Wikirate International e.V.+Entity identificationKION Group</v>
      </c>
      <c r="C186" t="s">
        <v>328</v>
      </c>
      <c r="D186" t="s">
        <v>65</v>
      </c>
      <c r="E186">
        <v>2024</v>
      </c>
      <c r="F186" t="s">
        <v>336</v>
      </c>
      <c r="G186" t="s">
        <v>66</v>
      </c>
      <c r="H186">
        <v>22246241</v>
      </c>
      <c r="J186">
        <v>1</v>
      </c>
      <c r="K186" t="s">
        <v>1546</v>
      </c>
    </row>
    <row r="187" spans="1:11">
      <c r="A187" t="s">
        <v>396</v>
      </c>
      <c r="B187" t="str">
        <f t="shared" si="2"/>
        <v>Wikirate International e.V.+Entity identificationStadtwerke Munchen GmbH</v>
      </c>
      <c r="C187" t="s">
        <v>328</v>
      </c>
      <c r="D187" t="s">
        <v>61</v>
      </c>
      <c r="E187">
        <v>2024</v>
      </c>
      <c r="F187" t="s">
        <v>21</v>
      </c>
      <c r="G187" t="s">
        <v>62</v>
      </c>
      <c r="H187">
        <v>22246371</v>
      </c>
      <c r="J187">
        <v>1</v>
      </c>
    </row>
    <row r="188" spans="1:11">
      <c r="A188" t="s">
        <v>397</v>
      </c>
      <c r="B188" t="str">
        <f t="shared" si="2"/>
        <v>Wikirate International e.V.+Entity identificationLockheed Martin</v>
      </c>
      <c r="C188" t="s">
        <v>328</v>
      </c>
      <c r="D188" t="s">
        <v>38</v>
      </c>
      <c r="E188">
        <v>2024</v>
      </c>
      <c r="F188" t="s">
        <v>21</v>
      </c>
      <c r="G188" t="s">
        <v>39</v>
      </c>
      <c r="H188">
        <v>22246525</v>
      </c>
      <c r="J188">
        <v>1</v>
      </c>
    </row>
    <row r="189" spans="1:11">
      <c r="A189" t="s">
        <v>398</v>
      </c>
      <c r="B189" t="str">
        <f t="shared" si="2"/>
        <v>Wikirate International e.V.+Entity identificationDiehl Stiftung &amp; Co. KG</v>
      </c>
      <c r="C189" t="s">
        <v>328</v>
      </c>
      <c r="D189" t="s">
        <v>53</v>
      </c>
      <c r="E189">
        <v>2024</v>
      </c>
      <c r="F189" t="s">
        <v>21</v>
      </c>
      <c r="G189" t="s">
        <v>54</v>
      </c>
      <c r="H189">
        <v>22246619</v>
      </c>
      <c r="J189">
        <v>1</v>
      </c>
    </row>
    <row r="190" spans="1:11">
      <c r="A190" t="s">
        <v>399</v>
      </c>
      <c r="B190" t="str">
        <f t="shared" si="2"/>
        <v>Wikirate International e.V.+Entity identificationMerck KGaA</v>
      </c>
      <c r="C190" t="s">
        <v>328</v>
      </c>
      <c r="D190" t="s">
        <v>49</v>
      </c>
      <c r="E190">
        <v>2024</v>
      </c>
      <c r="F190" t="s">
        <v>21</v>
      </c>
      <c r="G190" t="s">
        <v>50</v>
      </c>
      <c r="H190">
        <v>22246755</v>
      </c>
      <c r="J190">
        <v>1</v>
      </c>
    </row>
    <row r="191" spans="1:11">
      <c r="A191" t="s">
        <v>400</v>
      </c>
      <c r="B191" t="str">
        <f t="shared" si="2"/>
        <v>Wikirate International e.V.+Entity identificationEvonik</v>
      </c>
      <c r="C191" t="s">
        <v>328</v>
      </c>
      <c r="D191" t="s">
        <v>45</v>
      </c>
      <c r="E191">
        <v>2024</v>
      </c>
      <c r="F191" t="s">
        <v>21</v>
      </c>
      <c r="G191" t="s">
        <v>46</v>
      </c>
      <c r="H191">
        <v>22246876</v>
      </c>
      <c r="J191">
        <v>1</v>
      </c>
      <c r="K191" t="s">
        <v>401</v>
      </c>
    </row>
    <row r="192" spans="1:11">
      <c r="A192" t="s">
        <v>402</v>
      </c>
      <c r="B192" t="str">
        <f t="shared" si="2"/>
        <v>Wikirate International e.V.+Entity identificationKNDS Group</v>
      </c>
      <c r="C192" t="s">
        <v>328</v>
      </c>
      <c r="D192" t="s">
        <v>42</v>
      </c>
      <c r="E192">
        <v>2024</v>
      </c>
      <c r="F192" t="s">
        <v>21</v>
      </c>
      <c r="G192" t="s">
        <v>43</v>
      </c>
      <c r="H192">
        <v>22247005</v>
      </c>
      <c r="J192">
        <v>1</v>
      </c>
    </row>
    <row r="193" spans="1:11">
      <c r="A193" t="s">
        <v>403</v>
      </c>
      <c r="B193" t="str">
        <f t="shared" si="2"/>
        <v>Wikirate International e.V.+Entity identificationLeonardo</v>
      </c>
      <c r="C193" t="s">
        <v>328</v>
      </c>
      <c r="D193" t="s">
        <v>33</v>
      </c>
      <c r="E193">
        <v>2024</v>
      </c>
      <c r="F193" t="s">
        <v>21</v>
      </c>
      <c r="G193" t="s">
        <v>34</v>
      </c>
      <c r="H193">
        <v>22247184</v>
      </c>
      <c r="I193" t="s">
        <v>35</v>
      </c>
      <c r="J193">
        <v>1</v>
      </c>
    </row>
    <row r="194" spans="1:11">
      <c r="A194" t="s">
        <v>404</v>
      </c>
      <c r="B194" t="str">
        <f t="shared" si="2"/>
        <v>Wikirate International e.V.+Entity identificationGelsenwasser</v>
      </c>
      <c r="C194" t="s">
        <v>328</v>
      </c>
      <c r="D194" t="s">
        <v>29</v>
      </c>
      <c r="E194">
        <v>2024</v>
      </c>
      <c r="F194" t="s">
        <v>336</v>
      </c>
      <c r="G194" t="s">
        <v>30</v>
      </c>
      <c r="H194">
        <v>22247787</v>
      </c>
      <c r="J194">
        <v>1</v>
      </c>
      <c r="K194" t="s">
        <v>405</v>
      </c>
    </row>
    <row r="195" spans="1:11">
      <c r="A195" t="s">
        <v>406</v>
      </c>
      <c r="B195" t="str">
        <f t="shared" si="2"/>
        <v>Wikirate International e.V.+Entity identificationWacker Chemie</v>
      </c>
      <c r="C195" t="s">
        <v>328</v>
      </c>
      <c r="D195" t="s">
        <v>24</v>
      </c>
      <c r="E195">
        <v>2024</v>
      </c>
      <c r="F195" t="s">
        <v>407</v>
      </c>
      <c r="G195" t="s">
        <v>25</v>
      </c>
      <c r="H195">
        <v>22249886</v>
      </c>
      <c r="I195" t="s">
        <v>26</v>
      </c>
      <c r="J195">
        <v>1</v>
      </c>
      <c r="K195" t="s">
        <v>408</v>
      </c>
    </row>
    <row r="196" spans="1:11">
      <c r="A196" t="s">
        <v>409</v>
      </c>
      <c r="B196" t="str">
        <f t="shared" si="2"/>
        <v>Wikirate International e.V.+Entity identificationTh√ºga Holding</v>
      </c>
      <c r="C196" t="s">
        <v>328</v>
      </c>
      <c r="D196" t="s">
        <v>20</v>
      </c>
      <c r="E196">
        <v>2024</v>
      </c>
      <c r="F196" t="s">
        <v>21</v>
      </c>
      <c r="G196" t="s">
        <v>1531</v>
      </c>
      <c r="H196">
        <v>22250764</v>
      </c>
      <c r="J196">
        <v>1</v>
      </c>
      <c r="K196" t="s">
        <v>410</v>
      </c>
    </row>
    <row r="197" spans="1:11">
      <c r="A197" t="s">
        <v>411</v>
      </c>
      <c r="B197" t="str">
        <f t="shared" si="2"/>
        <v>Wikirate International e.V.+Reporting period specifiedBMW AG</v>
      </c>
      <c r="C197" t="s">
        <v>412</v>
      </c>
      <c r="D197" t="s">
        <v>92</v>
      </c>
      <c r="E197">
        <v>2024</v>
      </c>
      <c r="F197" t="s">
        <v>15</v>
      </c>
      <c r="G197" t="s">
        <v>329</v>
      </c>
      <c r="H197">
        <v>21483508</v>
      </c>
      <c r="I197" t="s">
        <v>330</v>
      </c>
      <c r="J197">
        <v>1</v>
      </c>
      <c r="K197" t="s">
        <v>413</v>
      </c>
    </row>
    <row r="198" spans="1:11">
      <c r="A198" t="s">
        <v>414</v>
      </c>
      <c r="B198" t="str">
        <f t="shared" si="2"/>
        <v>Wikirate International e.V.+Reporting period specifiedAirbus Group</v>
      </c>
      <c r="C198" t="s">
        <v>412</v>
      </c>
      <c r="D198" t="s">
        <v>74</v>
      </c>
      <c r="E198">
        <v>2024</v>
      </c>
      <c r="F198" t="s">
        <v>15</v>
      </c>
      <c r="G198" t="s">
        <v>333</v>
      </c>
      <c r="H198">
        <v>21484397</v>
      </c>
      <c r="J198">
        <v>1</v>
      </c>
      <c r="K198" t="s">
        <v>415</v>
      </c>
    </row>
    <row r="199" spans="1:11">
      <c r="A199" t="s">
        <v>416</v>
      </c>
      <c r="B199" t="str">
        <f t="shared" ref="B199:B262" si="3">C199&amp;D199</f>
        <v>Wikirate International e.V.+Reporting period specifiedBASF SE</v>
      </c>
      <c r="C199" t="s">
        <v>412</v>
      </c>
      <c r="D199" t="s">
        <v>108</v>
      </c>
      <c r="E199">
        <v>2024</v>
      </c>
      <c r="F199" t="s">
        <v>15</v>
      </c>
      <c r="G199" t="s">
        <v>339</v>
      </c>
      <c r="H199">
        <v>21484913</v>
      </c>
      <c r="I199" t="s">
        <v>340</v>
      </c>
      <c r="J199">
        <v>1</v>
      </c>
      <c r="K199" t="s">
        <v>417</v>
      </c>
    </row>
    <row r="200" spans="1:11">
      <c r="A200" t="s">
        <v>418</v>
      </c>
      <c r="B200" t="str">
        <f t="shared" si="3"/>
        <v>Wikirate International e.V.+Reporting period specifiedVolkswagen AG</v>
      </c>
      <c r="C200" t="s">
        <v>412</v>
      </c>
      <c r="D200" t="s">
        <v>112</v>
      </c>
      <c r="E200">
        <v>2024</v>
      </c>
      <c r="F200" t="s">
        <v>15</v>
      </c>
      <c r="G200" t="s">
        <v>342</v>
      </c>
      <c r="H200">
        <v>21485292</v>
      </c>
      <c r="I200" t="s">
        <v>343</v>
      </c>
      <c r="J200">
        <v>1</v>
      </c>
      <c r="K200" t="s">
        <v>419</v>
      </c>
    </row>
    <row r="201" spans="1:11">
      <c r="A201" t="s">
        <v>420</v>
      </c>
      <c r="B201" t="str">
        <f t="shared" si="3"/>
        <v>Wikirate International e.V.+Reporting period specifiedMercedes-Benz AG</v>
      </c>
      <c r="C201" t="s">
        <v>412</v>
      </c>
      <c r="D201" t="s">
        <v>102</v>
      </c>
      <c r="E201">
        <v>2024</v>
      </c>
      <c r="F201" t="s">
        <v>15</v>
      </c>
      <c r="G201" t="s">
        <v>249</v>
      </c>
      <c r="H201">
        <v>21485557</v>
      </c>
      <c r="I201" t="s">
        <v>250</v>
      </c>
      <c r="J201">
        <v>1</v>
      </c>
      <c r="K201" t="s">
        <v>421</v>
      </c>
    </row>
    <row r="202" spans="1:11">
      <c r="A202" t="s">
        <v>422</v>
      </c>
      <c r="B202" t="str">
        <f t="shared" si="3"/>
        <v>Wikirate International e.V.+Reporting period specifiedE.ON SE</v>
      </c>
      <c r="C202" t="s">
        <v>412</v>
      </c>
      <c r="D202" t="s">
        <v>57</v>
      </c>
      <c r="E202">
        <v>2024</v>
      </c>
      <c r="F202" t="s">
        <v>15</v>
      </c>
      <c r="G202" t="s">
        <v>58</v>
      </c>
      <c r="H202">
        <v>21486507</v>
      </c>
      <c r="J202">
        <v>1</v>
      </c>
      <c r="K202" t="s">
        <v>423</v>
      </c>
    </row>
    <row r="203" spans="1:11">
      <c r="A203" t="s">
        <v>424</v>
      </c>
      <c r="B203" t="str">
        <f t="shared" si="3"/>
        <v>Wikirate International e.V.+Reporting period specifiedBayer AG</v>
      </c>
      <c r="C203" t="s">
        <v>412</v>
      </c>
      <c r="D203" t="s">
        <v>87</v>
      </c>
      <c r="E203">
        <v>2024</v>
      </c>
      <c r="F203" t="s">
        <v>15</v>
      </c>
      <c r="G203" t="s">
        <v>88</v>
      </c>
      <c r="H203">
        <v>21486648</v>
      </c>
      <c r="J203">
        <v>1</v>
      </c>
      <c r="K203" t="s">
        <v>1547</v>
      </c>
    </row>
    <row r="204" spans="1:11">
      <c r="A204" t="s">
        <v>425</v>
      </c>
      <c r="B204" t="str">
        <f t="shared" si="3"/>
        <v>Wikirate International e.V.+Reporting period specifiedRWE Group</v>
      </c>
      <c r="C204" t="s">
        <v>412</v>
      </c>
      <c r="D204" t="s">
        <v>14</v>
      </c>
      <c r="E204">
        <v>2024</v>
      </c>
      <c r="F204" t="s">
        <v>15</v>
      </c>
      <c r="G204" t="s">
        <v>16</v>
      </c>
      <c r="H204">
        <v>21487425</v>
      </c>
      <c r="I204" t="s">
        <v>17</v>
      </c>
      <c r="J204">
        <v>1</v>
      </c>
      <c r="K204" t="s">
        <v>426</v>
      </c>
    </row>
    <row r="205" spans="1:11">
      <c r="A205" t="s">
        <v>427</v>
      </c>
      <c r="B205" t="str">
        <f t="shared" si="3"/>
        <v>Wikirate International e.V.+Reporting period specifiedDaimler Truck AG</v>
      </c>
      <c r="C205" t="s">
        <v>412</v>
      </c>
      <c r="D205" t="s">
        <v>118</v>
      </c>
      <c r="E205">
        <v>2024</v>
      </c>
      <c r="F205" t="s">
        <v>15</v>
      </c>
      <c r="G205" t="s">
        <v>119</v>
      </c>
      <c r="H205">
        <v>21487969</v>
      </c>
      <c r="I205" t="s">
        <v>120</v>
      </c>
      <c r="J205">
        <v>1</v>
      </c>
      <c r="K205" t="s">
        <v>428</v>
      </c>
    </row>
    <row r="206" spans="1:11">
      <c r="A206" t="s">
        <v>429</v>
      </c>
      <c r="B206" t="str">
        <f t="shared" si="3"/>
        <v>Wikirate International e.V.+Reporting period specifiedJenoptik AG</v>
      </c>
      <c r="C206" t="s">
        <v>412</v>
      </c>
      <c r="D206" t="s">
        <v>123</v>
      </c>
      <c r="E206">
        <v>2024</v>
      </c>
      <c r="F206" t="s">
        <v>15</v>
      </c>
      <c r="G206" t="s">
        <v>261</v>
      </c>
      <c r="H206">
        <v>21488110</v>
      </c>
      <c r="J206">
        <v>1</v>
      </c>
      <c r="K206" t="s">
        <v>430</v>
      </c>
    </row>
    <row r="207" spans="1:11">
      <c r="A207" t="s">
        <v>431</v>
      </c>
      <c r="B207" t="str">
        <f t="shared" si="3"/>
        <v>Wikirate International e.V.+Reporting period specifiedContinental AG</v>
      </c>
      <c r="C207" t="s">
        <v>412</v>
      </c>
      <c r="D207" t="s">
        <v>126</v>
      </c>
      <c r="E207">
        <v>2024</v>
      </c>
      <c r="F207" t="s">
        <v>15</v>
      </c>
      <c r="G207" t="s">
        <v>353</v>
      </c>
      <c r="H207">
        <v>22205740</v>
      </c>
      <c r="I207" t="s">
        <v>354</v>
      </c>
      <c r="J207">
        <v>1</v>
      </c>
      <c r="K207" t="s">
        <v>432</v>
      </c>
    </row>
    <row r="208" spans="1:11">
      <c r="A208" t="s">
        <v>433</v>
      </c>
      <c r="B208" t="str">
        <f t="shared" si="3"/>
        <v>Wikirate International e.V.+Reporting period specifiedHelm AG</v>
      </c>
      <c r="C208" t="s">
        <v>412</v>
      </c>
      <c r="D208" t="s">
        <v>132</v>
      </c>
      <c r="E208">
        <v>2024</v>
      </c>
      <c r="F208" t="s">
        <v>21</v>
      </c>
      <c r="G208" t="s">
        <v>268</v>
      </c>
      <c r="H208">
        <v>22205881</v>
      </c>
      <c r="J208">
        <v>1</v>
      </c>
    </row>
    <row r="209" spans="1:11">
      <c r="A209" t="s">
        <v>434</v>
      </c>
      <c r="B209" t="str">
        <f t="shared" si="3"/>
        <v>Wikirate International e.V.+Reporting period specifiedThyssenKrupp Group</v>
      </c>
      <c r="C209" t="s">
        <v>412</v>
      </c>
      <c r="D209" t="s">
        <v>129</v>
      </c>
      <c r="E209">
        <v>2024</v>
      </c>
      <c r="F209" t="s">
        <v>15</v>
      </c>
      <c r="G209" t="s">
        <v>265</v>
      </c>
      <c r="H209">
        <v>22206258</v>
      </c>
      <c r="I209" t="s">
        <v>266</v>
      </c>
      <c r="J209">
        <v>1</v>
      </c>
      <c r="K209" t="s">
        <v>435</v>
      </c>
    </row>
    <row r="210" spans="1:11">
      <c r="A210" t="s">
        <v>436</v>
      </c>
      <c r="B210" t="str">
        <f t="shared" si="3"/>
        <v>Wikirate International e.V.+Reporting period specifiedSiemens AG</v>
      </c>
      <c r="C210" t="s">
        <v>412</v>
      </c>
      <c r="D210" t="s">
        <v>148</v>
      </c>
      <c r="E210">
        <v>2024</v>
      </c>
      <c r="F210" t="s">
        <v>15</v>
      </c>
      <c r="G210" t="s">
        <v>270</v>
      </c>
      <c r="H210">
        <v>22206433</v>
      </c>
      <c r="J210">
        <v>1</v>
      </c>
      <c r="K210" t="s">
        <v>437</v>
      </c>
    </row>
    <row r="211" spans="1:11">
      <c r="A211" t="s">
        <v>438</v>
      </c>
      <c r="B211" t="str">
        <f t="shared" si="3"/>
        <v>Wikirate International e.V.+Reporting period specifiedGEA Group</v>
      </c>
      <c r="C211" t="s">
        <v>412</v>
      </c>
      <c r="D211" t="s">
        <v>135</v>
      </c>
      <c r="E211">
        <v>2024</v>
      </c>
      <c r="F211" t="s">
        <v>15</v>
      </c>
      <c r="G211" t="s">
        <v>360</v>
      </c>
      <c r="H211">
        <v>22207014</v>
      </c>
      <c r="J211">
        <v>1</v>
      </c>
      <c r="K211" t="s">
        <v>439</v>
      </c>
    </row>
    <row r="212" spans="1:11">
      <c r="A212" t="s">
        <v>440</v>
      </c>
      <c r="B212" t="str">
        <f t="shared" si="3"/>
        <v>Wikirate International e.V.+Reporting period specifiedRobert Bosch GmbH</v>
      </c>
      <c r="C212" t="s">
        <v>412</v>
      </c>
      <c r="D212" t="s">
        <v>138</v>
      </c>
      <c r="E212">
        <v>2024</v>
      </c>
      <c r="F212" t="s">
        <v>15</v>
      </c>
      <c r="G212" t="s">
        <v>273</v>
      </c>
      <c r="H212">
        <v>22208570</v>
      </c>
      <c r="I212" t="s">
        <v>274</v>
      </c>
      <c r="J212">
        <v>1</v>
      </c>
      <c r="K212" t="s">
        <v>441</v>
      </c>
    </row>
    <row r="213" spans="1:11">
      <c r="A213" t="s">
        <v>442</v>
      </c>
      <c r="B213" t="str">
        <f t="shared" si="3"/>
        <v>Wikirate International e.V.+Reporting period specifiedMahle GmbH</v>
      </c>
      <c r="C213" t="s">
        <v>412</v>
      </c>
      <c r="D213" t="s">
        <v>142</v>
      </c>
      <c r="E213">
        <v>2024</v>
      </c>
      <c r="F213" t="s">
        <v>15</v>
      </c>
      <c r="G213" t="s">
        <v>276</v>
      </c>
      <c r="H213">
        <v>22208694</v>
      </c>
      <c r="J213">
        <v>1</v>
      </c>
      <c r="K213" t="s">
        <v>443</v>
      </c>
    </row>
    <row r="214" spans="1:11">
      <c r="A214" t="s">
        <v>444</v>
      </c>
      <c r="B214" t="str">
        <f t="shared" si="3"/>
        <v>Wikirate International e.V.+Reporting period specifiedVoith</v>
      </c>
      <c r="C214" t="s">
        <v>412</v>
      </c>
      <c r="D214" t="s">
        <v>145</v>
      </c>
      <c r="E214">
        <v>2024</v>
      </c>
      <c r="F214" t="s">
        <v>15</v>
      </c>
      <c r="G214" t="s">
        <v>278</v>
      </c>
      <c r="H214">
        <v>22208978</v>
      </c>
      <c r="I214" t="s">
        <v>279</v>
      </c>
      <c r="J214">
        <v>1</v>
      </c>
      <c r="K214" t="s">
        <v>445</v>
      </c>
    </row>
    <row r="215" spans="1:11">
      <c r="A215" t="s">
        <v>446</v>
      </c>
      <c r="B215" t="str">
        <f t="shared" si="3"/>
        <v>Wikirate International e.V.+Reporting period specifiedSchaeffler Technologies</v>
      </c>
      <c r="C215" t="s">
        <v>412</v>
      </c>
      <c r="D215" t="s">
        <v>1618</v>
      </c>
      <c r="E215">
        <v>2024</v>
      </c>
      <c r="F215" t="s">
        <v>15</v>
      </c>
      <c r="G215" t="s">
        <v>281</v>
      </c>
      <c r="H215">
        <v>22209191</v>
      </c>
      <c r="J215">
        <v>1</v>
      </c>
      <c r="K215" t="s">
        <v>1548</v>
      </c>
    </row>
    <row r="216" spans="1:11">
      <c r="A216" t="s">
        <v>447</v>
      </c>
      <c r="B216" t="str">
        <f t="shared" si="3"/>
        <v>Wikirate International e.V.+Reporting period specifiedZF Friedrichshafen</v>
      </c>
      <c r="C216" t="s">
        <v>412</v>
      </c>
      <c r="D216" t="s">
        <v>152</v>
      </c>
      <c r="E216">
        <v>2024</v>
      </c>
      <c r="F216" t="s">
        <v>15</v>
      </c>
      <c r="G216" t="s">
        <v>283</v>
      </c>
      <c r="H216">
        <v>22209250</v>
      </c>
      <c r="J216">
        <v>1</v>
      </c>
      <c r="K216" t="s">
        <v>1549</v>
      </c>
    </row>
    <row r="217" spans="1:11">
      <c r="A217" t="s">
        <v>448</v>
      </c>
      <c r="B217" t="str">
        <f t="shared" si="3"/>
        <v>Wikirate International e.V.+Reporting period specifiedJungheinrich AG</v>
      </c>
      <c r="C217" t="s">
        <v>412</v>
      </c>
      <c r="D217" t="s">
        <v>155</v>
      </c>
      <c r="E217">
        <v>2024</v>
      </c>
      <c r="F217" t="s">
        <v>15</v>
      </c>
      <c r="G217" t="s">
        <v>285</v>
      </c>
      <c r="H217">
        <v>22209370</v>
      </c>
      <c r="J217">
        <v>1</v>
      </c>
      <c r="K217" t="s">
        <v>1550</v>
      </c>
    </row>
    <row r="218" spans="1:11">
      <c r="A218" t="s">
        <v>449</v>
      </c>
      <c r="B218" t="str">
        <f t="shared" si="3"/>
        <v>Wikirate International e.V.+Reporting period specifiedLanxess</v>
      </c>
      <c r="C218" t="s">
        <v>412</v>
      </c>
      <c r="D218" t="s">
        <v>194</v>
      </c>
      <c r="E218">
        <v>2024</v>
      </c>
      <c r="F218" t="s">
        <v>15</v>
      </c>
      <c r="G218" t="s">
        <v>287</v>
      </c>
      <c r="H218">
        <v>22209461</v>
      </c>
      <c r="J218">
        <v>1</v>
      </c>
      <c r="K218" t="s">
        <v>450</v>
      </c>
    </row>
    <row r="219" spans="1:11">
      <c r="A219" t="s">
        <v>451</v>
      </c>
      <c r="B219" t="str">
        <f t="shared" si="3"/>
        <v>Wikirate International e.V.+Reporting period specifiedD√ºrr Group</v>
      </c>
      <c r="C219" t="s">
        <v>412</v>
      </c>
      <c r="D219" t="s">
        <v>191</v>
      </c>
      <c r="E219">
        <v>2024</v>
      </c>
      <c r="F219" t="s">
        <v>15</v>
      </c>
      <c r="G219" t="s">
        <v>299</v>
      </c>
      <c r="H219">
        <v>22210528</v>
      </c>
      <c r="I219" t="s">
        <v>300</v>
      </c>
      <c r="J219">
        <v>1</v>
      </c>
      <c r="K219" t="s">
        <v>452</v>
      </c>
    </row>
    <row r="220" spans="1:11">
      <c r="A220" t="s">
        <v>453</v>
      </c>
      <c r="B220" t="str">
        <f t="shared" si="3"/>
        <v>Wikirate International e.V.+Reporting period specifiedCovestro</v>
      </c>
      <c r="C220" t="s">
        <v>412</v>
      </c>
      <c r="D220" t="s">
        <v>164</v>
      </c>
      <c r="E220">
        <v>2024</v>
      </c>
      <c r="F220" t="s">
        <v>15</v>
      </c>
      <c r="G220" t="s">
        <v>289</v>
      </c>
      <c r="H220">
        <v>22211044</v>
      </c>
      <c r="I220" t="s">
        <v>290</v>
      </c>
      <c r="J220">
        <v>2</v>
      </c>
      <c r="K220" t="s">
        <v>454</v>
      </c>
    </row>
    <row r="221" spans="1:11">
      <c r="A221" t="s">
        <v>455</v>
      </c>
      <c r="B221" t="str">
        <f t="shared" si="3"/>
        <v>Wikirate International e.V.+Reporting period specifiedKrones AG</v>
      </c>
      <c r="C221" t="s">
        <v>412</v>
      </c>
      <c r="D221" t="s">
        <v>168</v>
      </c>
      <c r="E221">
        <v>2024</v>
      </c>
      <c r="F221" t="s">
        <v>15</v>
      </c>
      <c r="G221" t="s">
        <v>371</v>
      </c>
      <c r="H221">
        <v>22211567</v>
      </c>
      <c r="J221">
        <v>1</v>
      </c>
      <c r="K221" t="s">
        <v>456</v>
      </c>
    </row>
    <row r="222" spans="1:11">
      <c r="A222" t="s">
        <v>457</v>
      </c>
      <c r="B222" t="str">
        <f t="shared" si="3"/>
        <v>Wikirate International e.V.+Reporting period specifiedHenkel AG &amp; Co. KGaA</v>
      </c>
      <c r="C222" t="s">
        <v>412</v>
      </c>
      <c r="D222" t="s">
        <v>172</v>
      </c>
      <c r="E222">
        <v>2024</v>
      </c>
      <c r="F222" t="s">
        <v>15</v>
      </c>
      <c r="G222" t="s">
        <v>374</v>
      </c>
      <c r="H222">
        <v>22211702</v>
      </c>
      <c r="I222" t="s">
        <v>375</v>
      </c>
      <c r="J222">
        <v>1</v>
      </c>
      <c r="K222" t="s">
        <v>458</v>
      </c>
    </row>
    <row r="223" spans="1:11">
      <c r="A223" t="s">
        <v>459</v>
      </c>
      <c r="B223" t="str">
        <f t="shared" si="3"/>
        <v>Wikirate International e.V.+Reporting period specifiedEnBW-Energie Baden-Wuerttemberg</v>
      </c>
      <c r="C223" t="s">
        <v>412</v>
      </c>
      <c r="D223" t="s">
        <v>177</v>
      </c>
      <c r="E223">
        <v>2024</v>
      </c>
      <c r="F223" t="s">
        <v>15</v>
      </c>
      <c r="G223" t="s">
        <v>377</v>
      </c>
      <c r="H223">
        <v>22218174</v>
      </c>
      <c r="J223">
        <v>1</v>
      </c>
      <c r="K223" t="s">
        <v>460</v>
      </c>
    </row>
    <row r="224" spans="1:11">
      <c r="A224" t="s">
        <v>461</v>
      </c>
      <c r="B224" t="str">
        <f t="shared" si="3"/>
        <v>Wikirate International e.V.+Reporting period specifiedHensoldt AG</v>
      </c>
      <c r="C224" t="s">
        <v>412</v>
      </c>
      <c r="D224" t="s">
        <v>208</v>
      </c>
      <c r="E224">
        <v>2024</v>
      </c>
      <c r="F224" t="s">
        <v>15</v>
      </c>
      <c r="G224" t="s">
        <v>297</v>
      </c>
      <c r="H224">
        <v>22218504</v>
      </c>
      <c r="J224">
        <v>1</v>
      </c>
      <c r="K224" t="s">
        <v>462</v>
      </c>
    </row>
    <row r="225" spans="1:11">
      <c r="A225" t="s">
        <v>463</v>
      </c>
      <c r="B225" t="str">
        <f t="shared" si="3"/>
        <v>Wikirate International e.V.+Reporting period specifiedHELLA GMBH &amp; CO. KGAA</v>
      </c>
      <c r="C225" t="s">
        <v>412</v>
      </c>
      <c r="D225" t="s">
        <v>187</v>
      </c>
      <c r="E225">
        <v>2024</v>
      </c>
      <c r="F225" t="s">
        <v>15</v>
      </c>
      <c r="G225" t="s">
        <v>384</v>
      </c>
      <c r="H225">
        <v>22218824</v>
      </c>
      <c r="J225">
        <v>1</v>
      </c>
      <c r="K225" t="s">
        <v>464</v>
      </c>
    </row>
    <row r="226" spans="1:11">
      <c r="A226" t="s">
        <v>465</v>
      </c>
      <c r="B226" t="str">
        <f t="shared" si="3"/>
        <v>Wikirate International e.V.+Reporting period specifiedDeere &amp; Co</v>
      </c>
      <c r="C226" t="s">
        <v>412</v>
      </c>
      <c r="D226" t="s">
        <v>197</v>
      </c>
      <c r="E226">
        <v>2024</v>
      </c>
      <c r="F226" t="s">
        <v>15</v>
      </c>
      <c r="G226" t="s">
        <v>303</v>
      </c>
      <c r="H226">
        <v>22218924</v>
      </c>
      <c r="J226">
        <v>1</v>
      </c>
      <c r="K226" t="s">
        <v>466</v>
      </c>
    </row>
    <row r="227" spans="1:11">
      <c r="A227" t="s">
        <v>467</v>
      </c>
      <c r="B227" t="str">
        <f t="shared" si="3"/>
        <v>Wikirate International e.V.+Reporting period specifiedAmprion GmbH</v>
      </c>
      <c r="C227" t="s">
        <v>412</v>
      </c>
      <c r="D227" t="s">
        <v>182</v>
      </c>
      <c r="E227">
        <v>2024</v>
      </c>
      <c r="F227" t="s">
        <v>21</v>
      </c>
      <c r="G227" t="s">
        <v>389</v>
      </c>
      <c r="H227">
        <v>22219001</v>
      </c>
      <c r="J227">
        <v>1</v>
      </c>
      <c r="K227" t="s">
        <v>468</v>
      </c>
    </row>
    <row r="228" spans="1:11">
      <c r="A228" t="s">
        <v>469</v>
      </c>
      <c r="B228" t="str">
        <f t="shared" si="3"/>
        <v>Wikirate International e.V.+Reporting period specifiedBoehringer Ingelheim GmbH</v>
      </c>
      <c r="C228" t="s">
        <v>412</v>
      </c>
      <c r="D228" t="s">
        <v>201</v>
      </c>
      <c r="E228">
        <v>2024</v>
      </c>
      <c r="F228" t="s">
        <v>21</v>
      </c>
      <c r="G228" t="s">
        <v>306</v>
      </c>
      <c r="H228">
        <v>22219124</v>
      </c>
      <c r="J228">
        <v>1</v>
      </c>
    </row>
    <row r="229" spans="1:11">
      <c r="A229" t="s">
        <v>470</v>
      </c>
      <c r="B229" t="str">
        <f t="shared" si="3"/>
        <v>Wikirate International e.V.+Reporting period specifiedRheinmetall AG</v>
      </c>
      <c r="C229" t="s">
        <v>412</v>
      </c>
      <c r="D229" t="s">
        <v>79</v>
      </c>
      <c r="E229">
        <v>2024</v>
      </c>
      <c r="F229" t="s">
        <v>15</v>
      </c>
      <c r="G229" t="s">
        <v>80</v>
      </c>
      <c r="H229">
        <v>22219704</v>
      </c>
      <c r="J229">
        <v>1</v>
      </c>
      <c r="K229" t="s">
        <v>471</v>
      </c>
    </row>
    <row r="230" spans="1:11">
      <c r="A230" t="s">
        <v>472</v>
      </c>
      <c r="B230" t="str">
        <f t="shared" si="3"/>
        <v>Wikirate International e.V.+Reporting period specifiedUniper SE</v>
      </c>
      <c r="C230" t="s">
        <v>412</v>
      </c>
      <c r="D230" t="s">
        <v>83</v>
      </c>
      <c r="E230">
        <v>2024</v>
      </c>
      <c r="F230" t="s">
        <v>15</v>
      </c>
      <c r="G230" t="s">
        <v>84</v>
      </c>
      <c r="H230">
        <v>22219756</v>
      </c>
      <c r="J230">
        <v>1</v>
      </c>
      <c r="K230" t="s">
        <v>473</v>
      </c>
    </row>
    <row r="231" spans="1:11">
      <c r="A231" t="s">
        <v>474</v>
      </c>
      <c r="B231" t="str">
        <f t="shared" si="3"/>
        <v>Wikirate International e.V.+Reporting period specifiedSiemens Energy AG</v>
      </c>
      <c r="C231" t="s">
        <v>412</v>
      </c>
      <c r="D231" t="s">
        <v>71</v>
      </c>
      <c r="E231">
        <v>2024</v>
      </c>
      <c r="F231" t="s">
        <v>15</v>
      </c>
      <c r="G231" t="s">
        <v>72</v>
      </c>
      <c r="H231">
        <v>22246014</v>
      </c>
      <c r="J231">
        <v>1</v>
      </c>
      <c r="K231" t="s">
        <v>475</v>
      </c>
    </row>
    <row r="232" spans="1:11">
      <c r="A232" t="s">
        <v>476</v>
      </c>
      <c r="B232" t="str">
        <f t="shared" si="3"/>
        <v>Wikirate International e.V.+Reporting period specified50Hertz Transmission</v>
      </c>
      <c r="C232" t="s">
        <v>412</v>
      </c>
      <c r="D232" t="s">
        <v>68</v>
      </c>
      <c r="E232">
        <v>2024</v>
      </c>
      <c r="F232" t="s">
        <v>15</v>
      </c>
      <c r="G232" t="s">
        <v>69</v>
      </c>
      <c r="H232">
        <v>22246106</v>
      </c>
      <c r="J232">
        <v>1</v>
      </c>
    </row>
    <row r="233" spans="1:11">
      <c r="A233" t="s">
        <v>477</v>
      </c>
      <c r="B233" t="str">
        <f t="shared" si="3"/>
        <v>Wikirate International e.V.+Reporting period specifiedKION Group</v>
      </c>
      <c r="C233" t="s">
        <v>412</v>
      </c>
      <c r="D233" t="s">
        <v>65</v>
      </c>
      <c r="E233">
        <v>2024</v>
      </c>
      <c r="F233" t="s">
        <v>15</v>
      </c>
      <c r="G233" t="s">
        <v>66</v>
      </c>
      <c r="H233">
        <v>22246265</v>
      </c>
      <c r="J233">
        <v>1</v>
      </c>
      <c r="K233" t="s">
        <v>1551</v>
      </c>
    </row>
    <row r="234" spans="1:11">
      <c r="A234" t="s">
        <v>478</v>
      </c>
      <c r="B234" t="str">
        <f t="shared" si="3"/>
        <v>Wikirate International e.V.+Reporting period specifiedStadtwerke Munchen GmbH</v>
      </c>
      <c r="C234" t="s">
        <v>412</v>
      </c>
      <c r="D234" t="s">
        <v>61</v>
      </c>
      <c r="E234">
        <v>2024</v>
      </c>
      <c r="F234" t="s">
        <v>15</v>
      </c>
      <c r="G234" t="s">
        <v>62</v>
      </c>
      <c r="H234">
        <v>22246376</v>
      </c>
      <c r="J234">
        <v>1</v>
      </c>
      <c r="K234" t="s">
        <v>479</v>
      </c>
    </row>
    <row r="235" spans="1:11">
      <c r="A235" t="s">
        <v>480</v>
      </c>
      <c r="B235" t="str">
        <f t="shared" si="3"/>
        <v>Wikirate International e.V.+Reporting period specifiedLockheed Martin</v>
      </c>
      <c r="C235" t="s">
        <v>412</v>
      </c>
      <c r="D235" t="s">
        <v>38</v>
      </c>
      <c r="E235">
        <v>2024</v>
      </c>
      <c r="F235" t="s">
        <v>15</v>
      </c>
      <c r="G235" t="s">
        <v>39</v>
      </c>
      <c r="H235">
        <v>22246530</v>
      </c>
      <c r="J235">
        <v>1</v>
      </c>
      <c r="K235" t="s">
        <v>1552</v>
      </c>
    </row>
    <row r="236" spans="1:11">
      <c r="A236" t="s">
        <v>481</v>
      </c>
      <c r="B236" t="str">
        <f t="shared" si="3"/>
        <v>Wikirate International e.V.+Reporting period specifiedDiehl Stiftung &amp; Co. KG</v>
      </c>
      <c r="C236" t="s">
        <v>412</v>
      </c>
      <c r="D236" t="s">
        <v>53</v>
      </c>
      <c r="E236">
        <v>2024</v>
      </c>
      <c r="F236" t="s">
        <v>15</v>
      </c>
      <c r="G236" t="s">
        <v>54</v>
      </c>
      <c r="H236">
        <v>22246624</v>
      </c>
      <c r="J236">
        <v>1</v>
      </c>
      <c r="K236" t="s">
        <v>1553</v>
      </c>
    </row>
    <row r="237" spans="1:11">
      <c r="A237" t="s">
        <v>482</v>
      </c>
      <c r="B237" t="str">
        <f t="shared" si="3"/>
        <v>Wikirate International e.V.+Reporting period specifiedMerck KGaA</v>
      </c>
      <c r="C237" t="s">
        <v>412</v>
      </c>
      <c r="D237" t="s">
        <v>49</v>
      </c>
      <c r="E237">
        <v>2024</v>
      </c>
      <c r="F237" t="s">
        <v>15</v>
      </c>
      <c r="G237" t="s">
        <v>50</v>
      </c>
      <c r="H237">
        <v>22246760</v>
      </c>
      <c r="J237">
        <v>1</v>
      </c>
      <c r="K237" t="s">
        <v>483</v>
      </c>
    </row>
    <row r="238" spans="1:11">
      <c r="A238" t="s">
        <v>484</v>
      </c>
      <c r="B238" t="str">
        <f t="shared" si="3"/>
        <v>Wikirate International e.V.+Reporting period specifiedEvonik</v>
      </c>
      <c r="C238" t="s">
        <v>412</v>
      </c>
      <c r="D238" t="s">
        <v>45</v>
      </c>
      <c r="E238">
        <v>2024</v>
      </c>
      <c r="F238" t="s">
        <v>15</v>
      </c>
      <c r="G238" t="s">
        <v>46</v>
      </c>
      <c r="H238">
        <v>22246883</v>
      </c>
      <c r="J238">
        <v>1</v>
      </c>
      <c r="K238" t="s">
        <v>485</v>
      </c>
    </row>
    <row r="239" spans="1:11">
      <c r="A239" t="s">
        <v>486</v>
      </c>
      <c r="B239" t="str">
        <f t="shared" si="3"/>
        <v>Wikirate International e.V.+Reporting period specifiedKNDS Group</v>
      </c>
      <c r="C239" t="s">
        <v>412</v>
      </c>
      <c r="D239" t="s">
        <v>42</v>
      </c>
      <c r="E239">
        <v>2024</v>
      </c>
      <c r="F239" t="s">
        <v>21</v>
      </c>
      <c r="G239" t="s">
        <v>43</v>
      </c>
      <c r="H239">
        <v>22247010</v>
      </c>
      <c r="J239">
        <v>1</v>
      </c>
    </row>
    <row r="240" spans="1:11">
      <c r="A240" t="s">
        <v>487</v>
      </c>
      <c r="B240" t="str">
        <f t="shared" si="3"/>
        <v>Wikirate International e.V.+Reporting period specifiedLeonardo</v>
      </c>
      <c r="C240" t="s">
        <v>412</v>
      </c>
      <c r="D240" t="s">
        <v>33</v>
      </c>
      <c r="E240">
        <v>2024</v>
      </c>
      <c r="F240" t="s">
        <v>15</v>
      </c>
      <c r="G240" t="s">
        <v>34</v>
      </c>
      <c r="H240">
        <v>22247192</v>
      </c>
      <c r="I240" t="s">
        <v>35</v>
      </c>
      <c r="J240">
        <v>1</v>
      </c>
      <c r="K240" t="s">
        <v>488</v>
      </c>
    </row>
    <row r="241" spans="1:11">
      <c r="A241" t="s">
        <v>489</v>
      </c>
      <c r="B241" t="str">
        <f t="shared" si="3"/>
        <v>Wikirate International e.V.+Reporting period specifiedGelsenwasser</v>
      </c>
      <c r="C241" t="s">
        <v>412</v>
      </c>
      <c r="D241" t="s">
        <v>29</v>
      </c>
      <c r="E241">
        <v>2024</v>
      </c>
      <c r="F241" t="s">
        <v>15</v>
      </c>
      <c r="G241" t="s">
        <v>30</v>
      </c>
      <c r="H241">
        <v>22247793</v>
      </c>
      <c r="J241">
        <v>1</v>
      </c>
      <c r="K241" t="s">
        <v>490</v>
      </c>
    </row>
    <row r="242" spans="1:11">
      <c r="A242" t="s">
        <v>491</v>
      </c>
      <c r="B242" t="str">
        <f t="shared" si="3"/>
        <v>Wikirate International e.V.+Reporting period specifiedWacker Chemie</v>
      </c>
      <c r="C242" t="s">
        <v>412</v>
      </c>
      <c r="D242" t="s">
        <v>24</v>
      </c>
      <c r="E242">
        <v>2024</v>
      </c>
      <c r="F242" t="s">
        <v>15</v>
      </c>
      <c r="G242" t="s">
        <v>25</v>
      </c>
      <c r="H242">
        <v>22249894</v>
      </c>
      <c r="I242" t="s">
        <v>26</v>
      </c>
      <c r="J242">
        <v>1</v>
      </c>
      <c r="K242" t="s">
        <v>492</v>
      </c>
    </row>
    <row r="243" spans="1:11">
      <c r="A243" t="s">
        <v>493</v>
      </c>
      <c r="B243" t="str">
        <f t="shared" si="3"/>
        <v>Wikirate International e.V.+Reporting period specifiedTh√ºga Holding</v>
      </c>
      <c r="C243" t="s">
        <v>412</v>
      </c>
      <c r="D243" t="s">
        <v>20</v>
      </c>
      <c r="E243">
        <v>2024</v>
      </c>
      <c r="F243" t="s">
        <v>15</v>
      </c>
      <c r="G243" t="s">
        <v>1531</v>
      </c>
      <c r="H243">
        <v>22250770</v>
      </c>
      <c r="J243">
        <v>1</v>
      </c>
      <c r="K243" t="s">
        <v>1554</v>
      </c>
    </row>
    <row r="244" spans="1:11">
      <c r="A244" t="s">
        <v>494</v>
      </c>
      <c r="B244" t="str">
        <f t="shared" si="3"/>
        <v>Wikirate International e.V.+Integrated indicator codesBMW AG</v>
      </c>
      <c r="C244" t="s">
        <v>495</v>
      </c>
      <c r="D244" t="s">
        <v>92</v>
      </c>
      <c r="E244">
        <v>2024</v>
      </c>
      <c r="F244" t="s">
        <v>496</v>
      </c>
      <c r="G244" t="s">
        <v>497</v>
      </c>
      <c r="H244">
        <v>21483513</v>
      </c>
      <c r="I244" t="s">
        <v>498</v>
      </c>
      <c r="J244">
        <v>1</v>
      </c>
      <c r="K244" t="s">
        <v>499</v>
      </c>
    </row>
    <row r="245" spans="1:11">
      <c r="A245" t="s">
        <v>500</v>
      </c>
      <c r="B245" t="str">
        <f t="shared" si="3"/>
        <v>Wikirate International e.V.+Integrated indicator codesAirbus Group</v>
      </c>
      <c r="C245" t="s">
        <v>495</v>
      </c>
      <c r="D245" t="s">
        <v>74</v>
      </c>
      <c r="E245">
        <v>2024</v>
      </c>
      <c r="F245" t="s">
        <v>501</v>
      </c>
      <c r="G245" t="s">
        <v>333</v>
      </c>
      <c r="H245">
        <v>21484411</v>
      </c>
      <c r="J245">
        <v>1</v>
      </c>
      <c r="K245" t="s">
        <v>502</v>
      </c>
    </row>
    <row r="246" spans="1:11">
      <c r="A246" t="s">
        <v>503</v>
      </c>
      <c r="B246" t="str">
        <f t="shared" si="3"/>
        <v>Wikirate International e.V.+Integrated indicator codesBASF SE</v>
      </c>
      <c r="C246" t="s">
        <v>495</v>
      </c>
      <c r="D246" t="s">
        <v>108</v>
      </c>
      <c r="E246">
        <v>2024</v>
      </c>
      <c r="F246" t="s">
        <v>501</v>
      </c>
      <c r="G246" t="s">
        <v>339</v>
      </c>
      <c r="H246">
        <v>21484922</v>
      </c>
      <c r="I246" t="s">
        <v>340</v>
      </c>
      <c r="J246">
        <v>1</v>
      </c>
      <c r="K246" t="s">
        <v>504</v>
      </c>
    </row>
    <row r="247" spans="1:11">
      <c r="A247" t="s">
        <v>505</v>
      </c>
      <c r="B247" t="str">
        <f t="shared" si="3"/>
        <v>Wikirate International e.V.+Integrated indicator codesVolkswagen AG</v>
      </c>
      <c r="C247" t="s">
        <v>495</v>
      </c>
      <c r="D247" t="s">
        <v>112</v>
      </c>
      <c r="E247">
        <v>2024</v>
      </c>
      <c r="F247" t="s">
        <v>501</v>
      </c>
      <c r="G247" t="s">
        <v>255</v>
      </c>
      <c r="H247">
        <v>21485297</v>
      </c>
      <c r="I247" t="s">
        <v>256</v>
      </c>
      <c r="J247">
        <v>1</v>
      </c>
      <c r="K247" t="s">
        <v>506</v>
      </c>
    </row>
    <row r="248" spans="1:11">
      <c r="A248" t="s">
        <v>507</v>
      </c>
      <c r="B248" t="str">
        <f t="shared" si="3"/>
        <v>Wikirate International e.V.+Integrated indicator codesMercedes-Benz AG</v>
      </c>
      <c r="C248" t="s">
        <v>495</v>
      </c>
      <c r="D248" t="s">
        <v>102</v>
      </c>
      <c r="E248">
        <v>2024</v>
      </c>
      <c r="F248" t="s">
        <v>496</v>
      </c>
      <c r="G248" t="s">
        <v>249</v>
      </c>
      <c r="H248">
        <v>21485562</v>
      </c>
      <c r="I248" t="s">
        <v>250</v>
      </c>
      <c r="J248">
        <v>1</v>
      </c>
      <c r="K248" t="s">
        <v>508</v>
      </c>
    </row>
    <row r="249" spans="1:11">
      <c r="A249" t="s">
        <v>509</v>
      </c>
      <c r="B249" t="str">
        <f t="shared" si="3"/>
        <v>Wikirate International e.V.+Integrated indicator codesE.ON SE</v>
      </c>
      <c r="C249" t="s">
        <v>495</v>
      </c>
      <c r="D249" t="s">
        <v>57</v>
      </c>
      <c r="E249">
        <v>2024</v>
      </c>
      <c r="F249" t="s">
        <v>496</v>
      </c>
      <c r="G249" t="s">
        <v>58</v>
      </c>
      <c r="H249">
        <v>21486511</v>
      </c>
      <c r="J249">
        <v>1</v>
      </c>
      <c r="K249" t="s">
        <v>510</v>
      </c>
    </row>
    <row r="250" spans="1:11">
      <c r="A250" t="s">
        <v>511</v>
      </c>
      <c r="B250" t="str">
        <f t="shared" si="3"/>
        <v>Wikirate International e.V.+Integrated indicator codesBayer AG</v>
      </c>
      <c r="C250" t="s">
        <v>495</v>
      </c>
      <c r="D250" t="s">
        <v>87</v>
      </c>
      <c r="E250">
        <v>2024</v>
      </c>
      <c r="F250" t="s">
        <v>524</v>
      </c>
      <c r="G250" t="s">
        <v>88</v>
      </c>
      <c r="H250">
        <v>21486652</v>
      </c>
      <c r="J250">
        <v>1</v>
      </c>
      <c r="K250" t="s">
        <v>1555</v>
      </c>
    </row>
    <row r="251" spans="1:11">
      <c r="A251" t="s">
        <v>512</v>
      </c>
      <c r="B251" t="str">
        <f t="shared" si="3"/>
        <v>Wikirate International e.V.+Integrated indicator codesRWE Group</v>
      </c>
      <c r="C251" t="s">
        <v>495</v>
      </c>
      <c r="D251" t="s">
        <v>14</v>
      </c>
      <c r="E251">
        <v>2024</v>
      </c>
      <c r="F251" t="s">
        <v>496</v>
      </c>
      <c r="G251" t="s">
        <v>16</v>
      </c>
      <c r="H251">
        <v>21487429</v>
      </c>
      <c r="I251" t="s">
        <v>17</v>
      </c>
      <c r="J251">
        <v>1</v>
      </c>
      <c r="K251" t="s">
        <v>1556</v>
      </c>
    </row>
    <row r="252" spans="1:11">
      <c r="A252" t="s">
        <v>513</v>
      </c>
      <c r="B252" t="str">
        <f t="shared" si="3"/>
        <v>Wikirate International e.V.+Integrated indicator codesDaimler Truck AG</v>
      </c>
      <c r="C252" t="s">
        <v>495</v>
      </c>
      <c r="D252" t="s">
        <v>118</v>
      </c>
      <c r="E252">
        <v>2024</v>
      </c>
      <c r="F252" t="s">
        <v>496</v>
      </c>
      <c r="G252" t="s">
        <v>119</v>
      </c>
      <c r="H252">
        <v>21487973</v>
      </c>
      <c r="I252" t="s">
        <v>120</v>
      </c>
      <c r="J252">
        <v>1</v>
      </c>
      <c r="K252" t="s">
        <v>514</v>
      </c>
    </row>
    <row r="253" spans="1:11">
      <c r="A253" t="s">
        <v>515</v>
      </c>
      <c r="B253" t="str">
        <f t="shared" si="3"/>
        <v>Wikirate International e.V.+Integrated indicator codesJenoptik AG</v>
      </c>
      <c r="C253" t="s">
        <v>495</v>
      </c>
      <c r="D253" t="s">
        <v>123</v>
      </c>
      <c r="E253">
        <v>2024</v>
      </c>
      <c r="F253" t="s">
        <v>496</v>
      </c>
      <c r="G253" t="s">
        <v>261</v>
      </c>
      <c r="H253">
        <v>21488114</v>
      </c>
      <c r="J253">
        <v>1</v>
      </c>
      <c r="K253" t="s">
        <v>1557</v>
      </c>
    </row>
    <row r="254" spans="1:11">
      <c r="A254" t="s">
        <v>516</v>
      </c>
      <c r="B254" t="str">
        <f t="shared" si="3"/>
        <v>Wikirate International e.V.+Integrated indicator codesContinental AG</v>
      </c>
      <c r="C254" t="s">
        <v>495</v>
      </c>
      <c r="D254" t="s">
        <v>126</v>
      </c>
      <c r="E254">
        <v>2024</v>
      </c>
      <c r="F254" t="s">
        <v>496</v>
      </c>
      <c r="G254" t="s">
        <v>353</v>
      </c>
      <c r="H254">
        <v>22205802</v>
      </c>
      <c r="I254" t="s">
        <v>354</v>
      </c>
      <c r="J254">
        <v>1</v>
      </c>
      <c r="K254" t="s">
        <v>517</v>
      </c>
    </row>
    <row r="255" spans="1:11">
      <c r="A255" t="s">
        <v>518</v>
      </c>
      <c r="B255" t="str">
        <f t="shared" si="3"/>
        <v>Wikirate International e.V.+Integrated indicator codesHelm AG</v>
      </c>
      <c r="C255" t="s">
        <v>495</v>
      </c>
      <c r="D255" t="s">
        <v>132</v>
      </c>
      <c r="E255">
        <v>2024</v>
      </c>
      <c r="F255" t="s">
        <v>501</v>
      </c>
      <c r="G255" t="s">
        <v>268</v>
      </c>
      <c r="H255">
        <v>22205892</v>
      </c>
      <c r="J255">
        <v>1</v>
      </c>
    </row>
    <row r="256" spans="1:11">
      <c r="A256" t="s">
        <v>519</v>
      </c>
      <c r="B256" t="str">
        <f t="shared" si="3"/>
        <v>Wikirate International e.V.+Integrated indicator codesThyssenKrupp Group</v>
      </c>
      <c r="C256" t="s">
        <v>495</v>
      </c>
      <c r="D256" t="s">
        <v>129</v>
      </c>
      <c r="E256">
        <v>2024</v>
      </c>
      <c r="F256" t="s">
        <v>21</v>
      </c>
      <c r="G256" t="s">
        <v>265</v>
      </c>
      <c r="H256">
        <v>22206510</v>
      </c>
      <c r="I256" t="s">
        <v>266</v>
      </c>
      <c r="J256">
        <v>1</v>
      </c>
    </row>
    <row r="257" spans="1:11">
      <c r="A257" t="s">
        <v>520</v>
      </c>
      <c r="B257" t="str">
        <f t="shared" si="3"/>
        <v>Wikirate International e.V.+Integrated indicator codesGEA Group</v>
      </c>
      <c r="C257" t="s">
        <v>495</v>
      </c>
      <c r="D257" t="s">
        <v>135</v>
      </c>
      <c r="E257">
        <v>2024</v>
      </c>
      <c r="F257" t="s">
        <v>521</v>
      </c>
      <c r="G257" t="s">
        <v>360</v>
      </c>
      <c r="H257">
        <v>22207051</v>
      </c>
      <c r="J257">
        <v>1</v>
      </c>
      <c r="K257" t="s">
        <v>522</v>
      </c>
    </row>
    <row r="258" spans="1:11">
      <c r="A258" t="s">
        <v>523</v>
      </c>
      <c r="B258" t="str">
        <f t="shared" si="3"/>
        <v>Wikirate International e.V.+Integrated indicator codesSiemens AG</v>
      </c>
      <c r="C258" t="s">
        <v>495</v>
      </c>
      <c r="D258" t="s">
        <v>148</v>
      </c>
      <c r="E258">
        <v>2024</v>
      </c>
      <c r="F258" t="s">
        <v>524</v>
      </c>
      <c r="G258" t="s">
        <v>270</v>
      </c>
      <c r="H258">
        <v>22207060</v>
      </c>
      <c r="J258">
        <v>1</v>
      </c>
      <c r="K258" t="s">
        <v>525</v>
      </c>
    </row>
    <row r="259" spans="1:11">
      <c r="A259" t="s">
        <v>526</v>
      </c>
      <c r="B259" t="str">
        <f t="shared" si="3"/>
        <v>Wikirate International e.V.+Integrated indicator codesRobert Bosch GmbH</v>
      </c>
      <c r="C259" t="s">
        <v>495</v>
      </c>
      <c r="D259" t="s">
        <v>138</v>
      </c>
      <c r="E259">
        <v>2024</v>
      </c>
      <c r="F259" t="s">
        <v>496</v>
      </c>
      <c r="G259" t="s">
        <v>273</v>
      </c>
      <c r="H259">
        <v>22208587</v>
      </c>
      <c r="I259" t="s">
        <v>274</v>
      </c>
      <c r="J259">
        <v>1</v>
      </c>
      <c r="K259" t="s">
        <v>527</v>
      </c>
    </row>
    <row r="260" spans="1:11">
      <c r="A260" t="s">
        <v>528</v>
      </c>
      <c r="B260" t="str">
        <f t="shared" si="3"/>
        <v>Wikirate International e.V.+Integrated indicator codesMahle GmbH</v>
      </c>
      <c r="C260" t="s">
        <v>495</v>
      </c>
      <c r="D260" t="s">
        <v>142</v>
      </c>
      <c r="E260">
        <v>2024</v>
      </c>
      <c r="F260" t="s">
        <v>496</v>
      </c>
      <c r="G260" t="s">
        <v>276</v>
      </c>
      <c r="H260">
        <v>22208723</v>
      </c>
      <c r="J260">
        <v>1</v>
      </c>
      <c r="K260" t="s">
        <v>529</v>
      </c>
    </row>
    <row r="261" spans="1:11">
      <c r="A261" t="s">
        <v>530</v>
      </c>
      <c r="B261" t="str">
        <f t="shared" si="3"/>
        <v>Wikirate International e.V.+Integrated indicator codesVoith</v>
      </c>
      <c r="C261" t="s">
        <v>495</v>
      </c>
      <c r="D261" t="s">
        <v>145</v>
      </c>
      <c r="E261">
        <v>2024</v>
      </c>
      <c r="F261" t="s">
        <v>496</v>
      </c>
      <c r="G261" t="s">
        <v>278</v>
      </c>
      <c r="H261">
        <v>22208995</v>
      </c>
      <c r="I261" t="s">
        <v>279</v>
      </c>
      <c r="J261">
        <v>1</v>
      </c>
      <c r="K261" t="s">
        <v>531</v>
      </c>
    </row>
    <row r="262" spans="1:11">
      <c r="A262" t="s">
        <v>532</v>
      </c>
      <c r="B262" t="str">
        <f t="shared" si="3"/>
        <v>Wikirate International e.V.+Integrated indicator codesZF Friedrichshafen</v>
      </c>
      <c r="C262" t="s">
        <v>495</v>
      </c>
      <c r="D262" t="s">
        <v>152</v>
      </c>
      <c r="E262">
        <v>2024</v>
      </c>
      <c r="F262" t="s">
        <v>21</v>
      </c>
      <c r="G262" t="s">
        <v>283</v>
      </c>
      <c r="H262">
        <v>22209273</v>
      </c>
      <c r="J262">
        <v>1</v>
      </c>
    </row>
    <row r="263" spans="1:11">
      <c r="A263" t="s">
        <v>533</v>
      </c>
      <c r="B263" t="str">
        <f t="shared" ref="B263:B326" si="4">C263&amp;D263</f>
        <v>Wikirate International e.V.+Integrated indicator codesSchaeffler Technologies</v>
      </c>
      <c r="C263" t="s">
        <v>495</v>
      </c>
      <c r="D263" t="s">
        <v>1618</v>
      </c>
      <c r="E263">
        <v>2024</v>
      </c>
      <c r="F263" t="s">
        <v>524</v>
      </c>
      <c r="G263" t="s">
        <v>281</v>
      </c>
      <c r="H263">
        <v>22209318</v>
      </c>
      <c r="J263">
        <v>1</v>
      </c>
      <c r="K263" t="s">
        <v>1558</v>
      </c>
    </row>
    <row r="264" spans="1:11">
      <c r="A264" t="s">
        <v>534</v>
      </c>
      <c r="B264" t="str">
        <f t="shared" si="4"/>
        <v>Wikirate International e.V.+Integrated indicator codesJungheinrich AG</v>
      </c>
      <c r="C264" t="s">
        <v>495</v>
      </c>
      <c r="D264" t="s">
        <v>155</v>
      </c>
      <c r="E264">
        <v>2024</v>
      </c>
      <c r="F264" t="s">
        <v>496</v>
      </c>
      <c r="G264" t="s">
        <v>285</v>
      </c>
      <c r="H264">
        <v>22209394</v>
      </c>
      <c r="J264">
        <v>1</v>
      </c>
      <c r="K264" t="s">
        <v>1559</v>
      </c>
    </row>
    <row r="265" spans="1:11">
      <c r="A265" t="s">
        <v>535</v>
      </c>
      <c r="B265" t="str">
        <f t="shared" si="4"/>
        <v>Wikirate International e.V.+Integrated indicator codesLanxess</v>
      </c>
      <c r="C265" t="s">
        <v>495</v>
      </c>
      <c r="D265" t="s">
        <v>194</v>
      </c>
      <c r="E265">
        <v>2024</v>
      </c>
      <c r="F265" t="s">
        <v>496</v>
      </c>
      <c r="G265" t="s">
        <v>287</v>
      </c>
      <c r="H265">
        <v>22209478</v>
      </c>
      <c r="J265">
        <v>1</v>
      </c>
      <c r="K265" t="s">
        <v>536</v>
      </c>
    </row>
    <row r="266" spans="1:11">
      <c r="A266" t="s">
        <v>537</v>
      </c>
      <c r="B266" t="str">
        <f t="shared" si="4"/>
        <v>Wikirate International e.V.+Integrated indicator codesD√ºrr Group</v>
      </c>
      <c r="C266" t="s">
        <v>495</v>
      </c>
      <c r="D266" t="s">
        <v>191</v>
      </c>
      <c r="E266">
        <v>2024</v>
      </c>
      <c r="F266" t="s">
        <v>496</v>
      </c>
      <c r="G266" t="s">
        <v>299</v>
      </c>
      <c r="H266">
        <v>22210540</v>
      </c>
      <c r="I266" t="s">
        <v>300</v>
      </c>
      <c r="J266">
        <v>1</v>
      </c>
      <c r="K266" t="s">
        <v>538</v>
      </c>
    </row>
    <row r="267" spans="1:11">
      <c r="A267" t="s">
        <v>539</v>
      </c>
      <c r="B267" t="str">
        <f t="shared" si="4"/>
        <v>Wikirate International e.V.+Integrated indicator codesCovestro</v>
      </c>
      <c r="C267" t="s">
        <v>495</v>
      </c>
      <c r="D267" t="s">
        <v>164</v>
      </c>
      <c r="E267">
        <v>2024</v>
      </c>
      <c r="F267" t="s">
        <v>21</v>
      </c>
      <c r="G267" t="s">
        <v>289</v>
      </c>
      <c r="H267">
        <v>22211065</v>
      </c>
      <c r="I267" t="s">
        <v>290</v>
      </c>
      <c r="J267">
        <v>1</v>
      </c>
      <c r="K267" t="s">
        <v>1560</v>
      </c>
    </row>
    <row r="268" spans="1:11">
      <c r="A268" t="s">
        <v>540</v>
      </c>
      <c r="B268" t="str">
        <f t="shared" si="4"/>
        <v>Wikirate International e.V.+Integrated indicator codesKrones AG</v>
      </c>
      <c r="C268" t="s">
        <v>495</v>
      </c>
      <c r="D268" t="s">
        <v>168</v>
      </c>
      <c r="E268">
        <v>2024</v>
      </c>
      <c r="F268" t="s">
        <v>496</v>
      </c>
      <c r="G268" t="s">
        <v>371</v>
      </c>
      <c r="H268">
        <v>22211609</v>
      </c>
      <c r="J268">
        <v>1</v>
      </c>
      <c r="K268" t="s">
        <v>541</v>
      </c>
    </row>
    <row r="269" spans="1:11">
      <c r="A269" t="s">
        <v>542</v>
      </c>
      <c r="B269" t="str">
        <f t="shared" si="4"/>
        <v>Wikirate International e.V.+Integrated indicator codesHenkel AG &amp; Co. KGaA</v>
      </c>
      <c r="C269" t="s">
        <v>495</v>
      </c>
      <c r="D269" t="s">
        <v>172</v>
      </c>
      <c r="E269">
        <v>2024</v>
      </c>
      <c r="F269" t="s">
        <v>501</v>
      </c>
      <c r="G269" t="s">
        <v>374</v>
      </c>
      <c r="H269">
        <v>22211716</v>
      </c>
      <c r="I269" t="s">
        <v>375</v>
      </c>
      <c r="J269">
        <v>1</v>
      </c>
      <c r="K269" t="s">
        <v>543</v>
      </c>
    </row>
    <row r="270" spans="1:11">
      <c r="A270" t="s">
        <v>544</v>
      </c>
      <c r="B270" t="str">
        <f t="shared" si="4"/>
        <v>Wikirate International e.V.+Integrated indicator codesEnBW-Energie Baden-Wuerttemberg</v>
      </c>
      <c r="C270" t="s">
        <v>495</v>
      </c>
      <c r="D270" t="s">
        <v>177</v>
      </c>
      <c r="E270">
        <v>2024</v>
      </c>
      <c r="F270" t="s">
        <v>501</v>
      </c>
      <c r="G270" t="s">
        <v>377</v>
      </c>
      <c r="H270">
        <v>22218188</v>
      </c>
      <c r="J270">
        <v>1</v>
      </c>
      <c r="K270" t="s">
        <v>1561</v>
      </c>
    </row>
    <row r="271" spans="1:11">
      <c r="A271" t="s">
        <v>545</v>
      </c>
      <c r="B271" t="str">
        <f t="shared" si="4"/>
        <v>Wikirate International e.V.+Integrated indicator codesHensoldt AG</v>
      </c>
      <c r="C271" t="s">
        <v>495</v>
      </c>
      <c r="D271" t="s">
        <v>208</v>
      </c>
      <c r="E271">
        <v>2024</v>
      </c>
      <c r="F271" t="s">
        <v>501</v>
      </c>
      <c r="G271" t="s">
        <v>297</v>
      </c>
      <c r="H271">
        <v>22218422</v>
      </c>
      <c r="J271">
        <v>1</v>
      </c>
      <c r="K271" t="s">
        <v>546</v>
      </c>
    </row>
    <row r="272" spans="1:11">
      <c r="A272" t="s">
        <v>547</v>
      </c>
      <c r="B272" t="str">
        <f t="shared" si="4"/>
        <v>Wikirate International e.V.+Integrated indicator codesHELLA GMBH &amp; CO. KGAA</v>
      </c>
      <c r="C272" t="s">
        <v>495</v>
      </c>
      <c r="D272" t="s">
        <v>187</v>
      </c>
      <c r="E272">
        <v>2024</v>
      </c>
      <c r="F272" t="s">
        <v>501</v>
      </c>
      <c r="G272" t="s">
        <v>384</v>
      </c>
      <c r="H272">
        <v>22218838</v>
      </c>
      <c r="J272">
        <v>1</v>
      </c>
      <c r="K272" t="s">
        <v>548</v>
      </c>
    </row>
    <row r="273" spans="1:11">
      <c r="A273" t="s">
        <v>549</v>
      </c>
      <c r="B273" t="str">
        <f t="shared" si="4"/>
        <v>Wikirate International e.V.+Integrated indicator codesDeere &amp; Co</v>
      </c>
      <c r="C273" t="s">
        <v>495</v>
      </c>
      <c r="D273" t="s">
        <v>197</v>
      </c>
      <c r="E273">
        <v>2024</v>
      </c>
      <c r="F273" t="s">
        <v>496</v>
      </c>
      <c r="G273" t="s">
        <v>303</v>
      </c>
      <c r="H273">
        <v>22218938</v>
      </c>
      <c r="J273">
        <v>1</v>
      </c>
      <c r="K273" t="s">
        <v>550</v>
      </c>
    </row>
    <row r="274" spans="1:11">
      <c r="A274" t="s">
        <v>551</v>
      </c>
      <c r="B274" t="str">
        <f t="shared" si="4"/>
        <v>Wikirate International e.V.+Integrated indicator codesAmprion GmbH</v>
      </c>
      <c r="C274" t="s">
        <v>495</v>
      </c>
      <c r="D274" t="s">
        <v>182</v>
      </c>
      <c r="E274">
        <v>2024</v>
      </c>
      <c r="F274" t="s">
        <v>21</v>
      </c>
      <c r="G274" t="s">
        <v>389</v>
      </c>
      <c r="H274">
        <v>22219014</v>
      </c>
      <c r="J274">
        <v>1</v>
      </c>
    </row>
    <row r="275" spans="1:11">
      <c r="A275" t="s">
        <v>552</v>
      </c>
      <c r="B275" t="str">
        <f t="shared" si="4"/>
        <v>Wikirate International e.V.+Integrated indicator codesBoehringer Ingelheim GmbH</v>
      </c>
      <c r="C275" t="s">
        <v>495</v>
      </c>
      <c r="D275" t="s">
        <v>201</v>
      </c>
      <c r="E275">
        <v>2024</v>
      </c>
      <c r="F275" t="s">
        <v>21</v>
      </c>
      <c r="G275" t="s">
        <v>306</v>
      </c>
      <c r="H275">
        <v>22219136</v>
      </c>
      <c r="J275">
        <v>1</v>
      </c>
    </row>
    <row r="276" spans="1:11">
      <c r="A276" t="s">
        <v>553</v>
      </c>
      <c r="B276" t="str">
        <f t="shared" si="4"/>
        <v>Wikirate International e.V.+Integrated indicator codesRheinmetall AG</v>
      </c>
      <c r="C276" t="s">
        <v>495</v>
      </c>
      <c r="D276" t="s">
        <v>79</v>
      </c>
      <c r="E276">
        <v>2024</v>
      </c>
      <c r="F276" t="s">
        <v>524</v>
      </c>
      <c r="G276" t="s">
        <v>80</v>
      </c>
      <c r="H276">
        <v>22219803</v>
      </c>
      <c r="J276">
        <v>1</v>
      </c>
      <c r="K276" t="s">
        <v>554</v>
      </c>
    </row>
    <row r="277" spans="1:11">
      <c r="A277" t="s">
        <v>555</v>
      </c>
      <c r="B277" t="str">
        <f t="shared" si="4"/>
        <v>Wikirate International e.V.+Integrated indicator codesUniper SE</v>
      </c>
      <c r="C277" t="s">
        <v>495</v>
      </c>
      <c r="D277" t="s">
        <v>83</v>
      </c>
      <c r="E277">
        <v>2024</v>
      </c>
      <c r="F277" t="s">
        <v>524</v>
      </c>
      <c r="G277" t="s">
        <v>84</v>
      </c>
      <c r="H277">
        <v>22219849</v>
      </c>
      <c r="J277">
        <v>1</v>
      </c>
      <c r="K277" t="s">
        <v>556</v>
      </c>
    </row>
    <row r="278" spans="1:11">
      <c r="A278" t="s">
        <v>557</v>
      </c>
      <c r="B278" t="str">
        <f t="shared" si="4"/>
        <v>Wikirate International e.V.+Integrated indicator codesSiemens Energy AG</v>
      </c>
      <c r="C278" t="s">
        <v>495</v>
      </c>
      <c r="D278" t="s">
        <v>71</v>
      </c>
      <c r="E278">
        <v>2024</v>
      </c>
      <c r="F278" t="s">
        <v>21</v>
      </c>
      <c r="G278" t="s">
        <v>72</v>
      </c>
      <c r="H278">
        <v>22246030</v>
      </c>
      <c r="J278">
        <v>1</v>
      </c>
    </row>
    <row r="279" spans="1:11">
      <c r="A279" t="s">
        <v>558</v>
      </c>
      <c r="B279" t="str">
        <f t="shared" si="4"/>
        <v>Wikirate International e.V.+Integrated indicator codes50Hertz Transmission</v>
      </c>
      <c r="C279" t="s">
        <v>495</v>
      </c>
      <c r="D279" t="s">
        <v>68</v>
      </c>
      <c r="E279">
        <v>2024</v>
      </c>
      <c r="F279" t="s">
        <v>501</v>
      </c>
      <c r="G279" t="s">
        <v>69</v>
      </c>
      <c r="H279">
        <v>22246118</v>
      </c>
      <c r="J279">
        <v>1</v>
      </c>
    </row>
    <row r="280" spans="1:11">
      <c r="A280" t="s">
        <v>559</v>
      </c>
      <c r="B280" t="str">
        <f t="shared" si="4"/>
        <v>Wikirate International e.V.+Integrated indicator codesKION Group</v>
      </c>
      <c r="C280" t="s">
        <v>495</v>
      </c>
      <c r="D280" t="s">
        <v>65</v>
      </c>
      <c r="E280">
        <v>2024</v>
      </c>
      <c r="F280" t="s">
        <v>496</v>
      </c>
      <c r="G280" t="s">
        <v>66</v>
      </c>
      <c r="H280">
        <v>22246294</v>
      </c>
      <c r="J280">
        <v>1</v>
      </c>
      <c r="K280" t="s">
        <v>1562</v>
      </c>
    </row>
    <row r="281" spans="1:11">
      <c r="A281" t="s">
        <v>560</v>
      </c>
      <c r="B281" t="str">
        <f t="shared" si="4"/>
        <v>Wikirate International e.V.+Integrated indicator codesStadtwerke Munchen GmbH</v>
      </c>
      <c r="C281" t="s">
        <v>495</v>
      </c>
      <c r="D281" t="s">
        <v>61</v>
      </c>
      <c r="E281">
        <v>2024</v>
      </c>
      <c r="F281" t="s">
        <v>496</v>
      </c>
      <c r="G281" t="s">
        <v>62</v>
      </c>
      <c r="H281">
        <v>22246393</v>
      </c>
      <c r="J281">
        <v>1</v>
      </c>
      <c r="K281" t="s">
        <v>561</v>
      </c>
    </row>
    <row r="282" spans="1:11">
      <c r="A282" t="s">
        <v>562</v>
      </c>
      <c r="B282" t="str">
        <f t="shared" si="4"/>
        <v>Wikirate International e.V.+Integrated indicator codesDiehl Stiftung &amp; Co. KG</v>
      </c>
      <c r="C282" t="s">
        <v>495</v>
      </c>
      <c r="D282" t="s">
        <v>53</v>
      </c>
      <c r="E282">
        <v>2024</v>
      </c>
      <c r="F282" t="s">
        <v>21</v>
      </c>
      <c r="G282" t="s">
        <v>54</v>
      </c>
      <c r="H282">
        <v>22246641</v>
      </c>
      <c r="J282">
        <v>1</v>
      </c>
      <c r="K282" t="s">
        <v>563</v>
      </c>
    </row>
    <row r="283" spans="1:11">
      <c r="A283" t="s">
        <v>564</v>
      </c>
      <c r="B283" t="str">
        <f t="shared" si="4"/>
        <v>Wikirate International e.V.+Integrated indicator codesMerck KGaA</v>
      </c>
      <c r="C283" t="s">
        <v>495</v>
      </c>
      <c r="D283" t="s">
        <v>49</v>
      </c>
      <c r="E283">
        <v>2024</v>
      </c>
      <c r="F283" t="s">
        <v>501</v>
      </c>
      <c r="G283" t="s">
        <v>50</v>
      </c>
      <c r="H283">
        <v>22246777</v>
      </c>
      <c r="J283">
        <v>1</v>
      </c>
      <c r="K283" t="s">
        <v>565</v>
      </c>
    </row>
    <row r="284" spans="1:11">
      <c r="A284" t="s">
        <v>566</v>
      </c>
      <c r="B284" t="str">
        <f t="shared" si="4"/>
        <v>Wikirate International e.V.+Integrated indicator codesEvonik</v>
      </c>
      <c r="C284" t="s">
        <v>495</v>
      </c>
      <c r="D284" t="s">
        <v>45</v>
      </c>
      <c r="E284">
        <v>2024</v>
      </c>
      <c r="F284" t="s">
        <v>501</v>
      </c>
      <c r="G284" t="s">
        <v>46</v>
      </c>
      <c r="H284">
        <v>22246909</v>
      </c>
      <c r="J284">
        <v>1</v>
      </c>
      <c r="K284" t="s">
        <v>567</v>
      </c>
    </row>
    <row r="285" spans="1:11">
      <c r="A285" t="s">
        <v>568</v>
      </c>
      <c r="B285" t="str">
        <f t="shared" si="4"/>
        <v>Wikirate International e.V.+Integrated indicator codesKNDS Group</v>
      </c>
      <c r="C285" t="s">
        <v>495</v>
      </c>
      <c r="D285" t="s">
        <v>42</v>
      </c>
      <c r="E285">
        <v>2024</v>
      </c>
      <c r="F285" t="s">
        <v>21</v>
      </c>
      <c r="G285" t="s">
        <v>43</v>
      </c>
      <c r="H285">
        <v>22247025</v>
      </c>
      <c r="J285">
        <v>1</v>
      </c>
    </row>
    <row r="286" spans="1:11">
      <c r="A286" t="s">
        <v>569</v>
      </c>
      <c r="B286" t="str">
        <f t="shared" si="4"/>
        <v>Wikirate International e.V.+Integrated indicator codesLockheed Martin</v>
      </c>
      <c r="C286" t="s">
        <v>495</v>
      </c>
      <c r="D286" t="s">
        <v>38</v>
      </c>
      <c r="E286">
        <v>2024</v>
      </c>
      <c r="F286" t="s">
        <v>524</v>
      </c>
      <c r="G286" t="s">
        <v>39</v>
      </c>
      <c r="H286">
        <v>22247099</v>
      </c>
      <c r="J286">
        <v>1</v>
      </c>
      <c r="K286" t="s">
        <v>1563</v>
      </c>
    </row>
    <row r="287" spans="1:11">
      <c r="A287" t="s">
        <v>570</v>
      </c>
      <c r="B287" t="str">
        <f t="shared" si="4"/>
        <v>Wikirate International e.V.+Integrated indicator codesLeonardo</v>
      </c>
      <c r="C287" t="s">
        <v>495</v>
      </c>
      <c r="D287" t="s">
        <v>33</v>
      </c>
      <c r="E287">
        <v>2024</v>
      </c>
      <c r="F287" t="s">
        <v>21</v>
      </c>
      <c r="G287" t="s">
        <v>34</v>
      </c>
      <c r="H287">
        <v>22247374</v>
      </c>
      <c r="I287" t="s">
        <v>35</v>
      </c>
      <c r="J287">
        <v>1</v>
      </c>
      <c r="K287" t="s">
        <v>1564</v>
      </c>
    </row>
    <row r="288" spans="1:11">
      <c r="A288" t="s">
        <v>571</v>
      </c>
      <c r="B288" t="str">
        <f t="shared" si="4"/>
        <v>Wikirate International e.V.+Integrated indicator codesGelsenwasser</v>
      </c>
      <c r="C288" t="s">
        <v>495</v>
      </c>
      <c r="D288" t="s">
        <v>29</v>
      </c>
      <c r="E288">
        <v>2024</v>
      </c>
      <c r="F288" t="s">
        <v>501</v>
      </c>
      <c r="G288" t="s">
        <v>30</v>
      </c>
      <c r="H288">
        <v>22247810</v>
      </c>
      <c r="J288">
        <v>1</v>
      </c>
      <c r="K288" t="s">
        <v>572</v>
      </c>
    </row>
    <row r="289" spans="1:11">
      <c r="A289" t="s">
        <v>573</v>
      </c>
      <c r="B289" t="str">
        <f t="shared" si="4"/>
        <v>Wikirate International e.V.+Integrated indicator codesWacker Chemie</v>
      </c>
      <c r="C289" t="s">
        <v>495</v>
      </c>
      <c r="D289" t="s">
        <v>24</v>
      </c>
      <c r="E289">
        <v>2024</v>
      </c>
      <c r="F289" t="s">
        <v>496</v>
      </c>
      <c r="G289" t="s">
        <v>25</v>
      </c>
      <c r="H289">
        <v>22249916</v>
      </c>
      <c r="I289" t="s">
        <v>26</v>
      </c>
      <c r="J289">
        <v>1</v>
      </c>
      <c r="K289" t="s">
        <v>574</v>
      </c>
    </row>
    <row r="290" spans="1:11">
      <c r="A290" t="s">
        <v>575</v>
      </c>
      <c r="B290" t="str">
        <f t="shared" si="4"/>
        <v>Wikirate International e.V.+Integrated indicator codesTh√ºga Holding</v>
      </c>
      <c r="C290" t="s">
        <v>495</v>
      </c>
      <c r="D290" t="s">
        <v>20</v>
      </c>
      <c r="E290">
        <v>2024</v>
      </c>
      <c r="F290" t="s">
        <v>501</v>
      </c>
      <c r="G290" t="s">
        <v>1531</v>
      </c>
      <c r="H290">
        <v>22250788</v>
      </c>
      <c r="J290">
        <v>1</v>
      </c>
      <c r="K290" t="s">
        <v>1565</v>
      </c>
    </row>
    <row r="291" spans="1:11">
      <c r="A291" t="s">
        <v>576</v>
      </c>
      <c r="B291" t="str">
        <f t="shared" si="4"/>
        <v>Wikirate International e.V.+Data license explicitBMW AG</v>
      </c>
      <c r="C291" t="s">
        <v>577</v>
      </c>
      <c r="D291" t="s">
        <v>92</v>
      </c>
      <c r="E291">
        <v>2024</v>
      </c>
      <c r="F291" t="s">
        <v>21</v>
      </c>
      <c r="G291" t="s">
        <v>329</v>
      </c>
      <c r="H291">
        <v>21483518</v>
      </c>
      <c r="I291" t="s">
        <v>330</v>
      </c>
      <c r="J291">
        <v>1</v>
      </c>
    </row>
    <row r="292" spans="1:11">
      <c r="A292" t="s">
        <v>578</v>
      </c>
      <c r="B292" t="str">
        <f t="shared" si="4"/>
        <v>Wikirate International e.V.+Data license explicitAirbus Group</v>
      </c>
      <c r="C292" t="s">
        <v>577</v>
      </c>
      <c r="D292" t="s">
        <v>74</v>
      </c>
      <c r="E292">
        <v>2024</v>
      </c>
      <c r="F292" t="s">
        <v>21</v>
      </c>
      <c r="G292" t="s">
        <v>333</v>
      </c>
      <c r="H292">
        <v>21484416</v>
      </c>
      <c r="J292">
        <v>1</v>
      </c>
    </row>
    <row r="293" spans="1:11">
      <c r="A293" t="s">
        <v>579</v>
      </c>
      <c r="B293" t="str">
        <f t="shared" si="4"/>
        <v>Wikirate International e.V.+Data license explicitBASF SE</v>
      </c>
      <c r="C293" t="s">
        <v>577</v>
      </c>
      <c r="D293" t="s">
        <v>108</v>
      </c>
      <c r="E293">
        <v>2024</v>
      </c>
      <c r="F293" t="s">
        <v>21</v>
      </c>
      <c r="G293" t="s">
        <v>580</v>
      </c>
      <c r="H293">
        <v>21484937</v>
      </c>
      <c r="I293" t="s">
        <v>581</v>
      </c>
      <c r="J293">
        <v>1</v>
      </c>
    </row>
    <row r="294" spans="1:11">
      <c r="A294" t="s">
        <v>582</v>
      </c>
      <c r="B294" t="str">
        <f t="shared" si="4"/>
        <v>Wikirate International e.V.+Data license explicitVolkswagen AG</v>
      </c>
      <c r="C294" t="s">
        <v>577</v>
      </c>
      <c r="D294" t="s">
        <v>112</v>
      </c>
      <c r="E294">
        <v>2024</v>
      </c>
      <c r="F294" t="s">
        <v>21</v>
      </c>
      <c r="G294" t="s">
        <v>342</v>
      </c>
      <c r="H294">
        <v>21485302</v>
      </c>
      <c r="I294" t="s">
        <v>343</v>
      </c>
      <c r="J294">
        <v>1</v>
      </c>
      <c r="K294" t="s">
        <v>583</v>
      </c>
    </row>
    <row r="295" spans="1:11">
      <c r="A295" t="s">
        <v>584</v>
      </c>
      <c r="B295" t="str">
        <f t="shared" si="4"/>
        <v>Wikirate International e.V.+Data license explicitMercedes-Benz AG</v>
      </c>
      <c r="C295" t="s">
        <v>577</v>
      </c>
      <c r="D295" t="s">
        <v>102</v>
      </c>
      <c r="E295">
        <v>2024</v>
      </c>
      <c r="F295" t="s">
        <v>21</v>
      </c>
      <c r="G295" t="s">
        <v>249</v>
      </c>
      <c r="H295">
        <v>21485570</v>
      </c>
      <c r="I295" t="s">
        <v>250</v>
      </c>
      <c r="J295">
        <v>1</v>
      </c>
    </row>
    <row r="296" spans="1:11">
      <c r="A296" t="s">
        <v>585</v>
      </c>
      <c r="B296" t="str">
        <f t="shared" si="4"/>
        <v>Wikirate International e.V.+Data license explicitE.ON SE</v>
      </c>
      <c r="C296" t="s">
        <v>577</v>
      </c>
      <c r="D296" t="s">
        <v>57</v>
      </c>
      <c r="E296">
        <v>2024</v>
      </c>
      <c r="F296" t="s">
        <v>21</v>
      </c>
      <c r="G296" t="s">
        <v>58</v>
      </c>
      <c r="H296">
        <v>21486516</v>
      </c>
      <c r="J296">
        <v>1</v>
      </c>
    </row>
    <row r="297" spans="1:11">
      <c r="A297" t="s">
        <v>586</v>
      </c>
      <c r="B297" t="str">
        <f t="shared" si="4"/>
        <v>Wikirate International e.V.+Data license explicitBayer AG</v>
      </c>
      <c r="C297" t="s">
        <v>577</v>
      </c>
      <c r="D297" t="s">
        <v>87</v>
      </c>
      <c r="E297">
        <v>2024</v>
      </c>
      <c r="F297" t="s">
        <v>21</v>
      </c>
      <c r="G297" t="s">
        <v>88</v>
      </c>
      <c r="H297">
        <v>21486670</v>
      </c>
      <c r="J297">
        <v>1</v>
      </c>
    </row>
    <row r="298" spans="1:11">
      <c r="A298" t="s">
        <v>587</v>
      </c>
      <c r="B298" t="str">
        <f t="shared" si="4"/>
        <v>Wikirate International e.V.+Data license explicitRWE Group</v>
      </c>
      <c r="C298" t="s">
        <v>577</v>
      </c>
      <c r="D298" t="s">
        <v>14</v>
      </c>
      <c r="E298">
        <v>2024</v>
      </c>
      <c r="F298" t="s">
        <v>21</v>
      </c>
      <c r="G298" t="s">
        <v>16</v>
      </c>
      <c r="H298">
        <v>21487434</v>
      </c>
      <c r="I298" t="s">
        <v>17</v>
      </c>
      <c r="J298">
        <v>1</v>
      </c>
    </row>
    <row r="299" spans="1:11">
      <c r="A299" t="s">
        <v>588</v>
      </c>
      <c r="B299" t="str">
        <f t="shared" si="4"/>
        <v>Wikirate International e.V.+Data license explicitDaimler Truck AG</v>
      </c>
      <c r="C299" t="s">
        <v>577</v>
      </c>
      <c r="D299" t="s">
        <v>118</v>
      </c>
      <c r="E299">
        <v>2024</v>
      </c>
      <c r="F299" t="s">
        <v>21</v>
      </c>
      <c r="G299" t="s">
        <v>119</v>
      </c>
      <c r="H299">
        <v>21487977</v>
      </c>
      <c r="I299" t="s">
        <v>120</v>
      </c>
      <c r="J299">
        <v>1</v>
      </c>
    </row>
    <row r="300" spans="1:11">
      <c r="A300" t="s">
        <v>589</v>
      </c>
      <c r="B300" t="str">
        <f t="shared" si="4"/>
        <v>Wikirate International e.V.+Data license explicitJenoptik AG</v>
      </c>
      <c r="C300" t="s">
        <v>577</v>
      </c>
      <c r="D300" t="s">
        <v>123</v>
      </c>
      <c r="E300">
        <v>2024</v>
      </c>
      <c r="F300" t="s">
        <v>21</v>
      </c>
      <c r="G300" t="s">
        <v>261</v>
      </c>
      <c r="H300">
        <v>21488118</v>
      </c>
      <c r="J300">
        <v>1</v>
      </c>
    </row>
    <row r="301" spans="1:11">
      <c r="A301" t="s">
        <v>590</v>
      </c>
      <c r="B301" t="str">
        <f t="shared" si="4"/>
        <v>Wikirate International e.V.+Data license explicitContinental AG</v>
      </c>
      <c r="C301" t="s">
        <v>577</v>
      </c>
      <c r="D301" t="s">
        <v>126</v>
      </c>
      <c r="E301">
        <v>2024</v>
      </c>
      <c r="F301" t="s">
        <v>21</v>
      </c>
      <c r="G301" t="s">
        <v>353</v>
      </c>
      <c r="H301">
        <v>22205808</v>
      </c>
      <c r="I301" t="s">
        <v>354</v>
      </c>
      <c r="J301">
        <v>1</v>
      </c>
    </row>
    <row r="302" spans="1:11">
      <c r="A302" t="s">
        <v>591</v>
      </c>
      <c r="B302" t="str">
        <f t="shared" si="4"/>
        <v>Wikirate International e.V.+Data license explicitHelm AG</v>
      </c>
      <c r="C302" t="s">
        <v>577</v>
      </c>
      <c r="D302" t="s">
        <v>132</v>
      </c>
      <c r="E302">
        <v>2024</v>
      </c>
      <c r="F302" t="s">
        <v>21</v>
      </c>
      <c r="G302" t="s">
        <v>268</v>
      </c>
      <c r="H302">
        <v>22205897</v>
      </c>
      <c r="J302">
        <v>1</v>
      </c>
    </row>
    <row r="303" spans="1:11">
      <c r="A303" t="s">
        <v>592</v>
      </c>
      <c r="B303" t="str">
        <f t="shared" si="4"/>
        <v>Wikirate International e.V.+Data license explicitSiemens AG</v>
      </c>
      <c r="C303" t="s">
        <v>577</v>
      </c>
      <c r="D303" t="s">
        <v>148</v>
      </c>
      <c r="E303">
        <v>2024</v>
      </c>
      <c r="F303" t="s">
        <v>21</v>
      </c>
      <c r="G303" t="s">
        <v>270</v>
      </c>
      <c r="H303">
        <v>22206456</v>
      </c>
      <c r="J303">
        <v>1</v>
      </c>
    </row>
    <row r="304" spans="1:11">
      <c r="A304" t="s">
        <v>593</v>
      </c>
      <c r="B304" t="str">
        <f t="shared" si="4"/>
        <v>Wikirate International e.V.+Data license explicitThyssenKrupp Group</v>
      </c>
      <c r="C304" t="s">
        <v>577</v>
      </c>
      <c r="D304" t="s">
        <v>129</v>
      </c>
      <c r="E304">
        <v>2024</v>
      </c>
      <c r="F304" t="s">
        <v>21</v>
      </c>
      <c r="G304" t="s">
        <v>265</v>
      </c>
      <c r="H304">
        <v>22206519</v>
      </c>
      <c r="I304" t="s">
        <v>266</v>
      </c>
      <c r="J304">
        <v>1</v>
      </c>
    </row>
    <row r="305" spans="1:10">
      <c r="A305" t="s">
        <v>594</v>
      </c>
      <c r="B305" t="str">
        <f t="shared" si="4"/>
        <v>Wikirate International e.V.+Data license explicitRobert Bosch GmbH</v>
      </c>
      <c r="C305" t="s">
        <v>577</v>
      </c>
      <c r="D305" t="s">
        <v>138</v>
      </c>
      <c r="E305">
        <v>2024</v>
      </c>
      <c r="F305" t="s">
        <v>21</v>
      </c>
      <c r="G305" t="s">
        <v>273</v>
      </c>
      <c r="H305">
        <v>22208593</v>
      </c>
      <c r="I305" t="s">
        <v>274</v>
      </c>
      <c r="J305">
        <v>1</v>
      </c>
    </row>
    <row r="306" spans="1:10">
      <c r="A306" t="s">
        <v>595</v>
      </c>
      <c r="B306" t="str">
        <f t="shared" si="4"/>
        <v>Wikirate International e.V.+Data license explicitGEA Group</v>
      </c>
      <c r="C306" t="s">
        <v>577</v>
      </c>
      <c r="D306" t="s">
        <v>135</v>
      </c>
      <c r="E306">
        <v>2024</v>
      </c>
      <c r="F306" t="s">
        <v>21</v>
      </c>
      <c r="G306" t="s">
        <v>360</v>
      </c>
      <c r="H306">
        <v>22208603</v>
      </c>
      <c r="J306">
        <v>1</v>
      </c>
    </row>
    <row r="307" spans="1:10">
      <c r="A307" t="s">
        <v>596</v>
      </c>
      <c r="B307" t="str">
        <f t="shared" si="4"/>
        <v>Wikirate International e.V.+Data license explicitMahle GmbH</v>
      </c>
      <c r="C307" t="s">
        <v>577</v>
      </c>
      <c r="D307" t="s">
        <v>142</v>
      </c>
      <c r="E307">
        <v>2024</v>
      </c>
      <c r="F307" t="s">
        <v>21</v>
      </c>
      <c r="G307" t="s">
        <v>276</v>
      </c>
      <c r="H307">
        <v>22208729</v>
      </c>
      <c r="J307">
        <v>1</v>
      </c>
    </row>
    <row r="308" spans="1:10">
      <c r="A308" t="s">
        <v>597</v>
      </c>
      <c r="B308" t="str">
        <f t="shared" si="4"/>
        <v>Wikirate International e.V.+Data license explicitVoith</v>
      </c>
      <c r="C308" t="s">
        <v>577</v>
      </c>
      <c r="D308" t="s">
        <v>145</v>
      </c>
      <c r="E308">
        <v>2024</v>
      </c>
      <c r="F308" t="s">
        <v>21</v>
      </c>
      <c r="G308" t="s">
        <v>278</v>
      </c>
      <c r="H308">
        <v>22209001</v>
      </c>
      <c r="I308" t="s">
        <v>279</v>
      </c>
      <c r="J308">
        <v>1</v>
      </c>
    </row>
    <row r="309" spans="1:10">
      <c r="A309" t="s">
        <v>598</v>
      </c>
      <c r="B309" t="str">
        <f t="shared" si="4"/>
        <v>Wikirate International e.V.+Data license explicitZF Friedrichshafen</v>
      </c>
      <c r="C309" t="s">
        <v>577</v>
      </c>
      <c r="D309" t="s">
        <v>152</v>
      </c>
      <c r="E309">
        <v>2024</v>
      </c>
      <c r="F309" t="s">
        <v>21</v>
      </c>
      <c r="G309" t="s">
        <v>283</v>
      </c>
      <c r="H309">
        <v>22209278</v>
      </c>
      <c r="J309">
        <v>1</v>
      </c>
    </row>
    <row r="310" spans="1:10">
      <c r="A310" t="s">
        <v>599</v>
      </c>
      <c r="B310" t="str">
        <f t="shared" si="4"/>
        <v>Wikirate International e.V.+Data license explicitSchaeffler Technologies</v>
      </c>
      <c r="C310" t="s">
        <v>577</v>
      </c>
      <c r="D310" t="s">
        <v>1618</v>
      </c>
      <c r="E310">
        <v>2024</v>
      </c>
      <c r="F310" t="s">
        <v>21</v>
      </c>
      <c r="G310" t="s">
        <v>281</v>
      </c>
      <c r="H310">
        <v>22209323</v>
      </c>
      <c r="J310">
        <v>1</v>
      </c>
    </row>
    <row r="311" spans="1:10">
      <c r="A311" t="s">
        <v>600</v>
      </c>
      <c r="B311" t="str">
        <f t="shared" si="4"/>
        <v>Wikirate International e.V.+Data license explicitJungheinrich AG</v>
      </c>
      <c r="C311" t="s">
        <v>577</v>
      </c>
      <c r="D311" t="s">
        <v>155</v>
      </c>
      <c r="E311">
        <v>2024</v>
      </c>
      <c r="F311" t="s">
        <v>21</v>
      </c>
      <c r="G311" t="s">
        <v>285</v>
      </c>
      <c r="H311">
        <v>22209406</v>
      </c>
      <c r="J311">
        <v>1</v>
      </c>
    </row>
    <row r="312" spans="1:10">
      <c r="A312" t="s">
        <v>601</v>
      </c>
      <c r="B312" t="str">
        <f t="shared" si="4"/>
        <v>Wikirate International e.V.+Data license explicitLanxess</v>
      </c>
      <c r="C312" t="s">
        <v>577</v>
      </c>
      <c r="D312" t="s">
        <v>194</v>
      </c>
      <c r="E312">
        <v>2024</v>
      </c>
      <c r="F312" t="s">
        <v>21</v>
      </c>
      <c r="G312" t="s">
        <v>287</v>
      </c>
      <c r="H312">
        <v>22209484</v>
      </c>
      <c r="J312">
        <v>1</v>
      </c>
    </row>
    <row r="313" spans="1:10">
      <c r="A313" t="s">
        <v>602</v>
      </c>
      <c r="B313" t="str">
        <f t="shared" si="4"/>
        <v>Wikirate International e.V.+Data license explicitD√ºrr Group</v>
      </c>
      <c r="C313" t="s">
        <v>577</v>
      </c>
      <c r="D313" t="s">
        <v>191</v>
      </c>
      <c r="E313">
        <v>2024</v>
      </c>
      <c r="F313" t="s">
        <v>21</v>
      </c>
      <c r="G313" t="s">
        <v>299</v>
      </c>
      <c r="H313">
        <v>22210546</v>
      </c>
      <c r="I313" t="s">
        <v>300</v>
      </c>
      <c r="J313">
        <v>1</v>
      </c>
    </row>
    <row r="314" spans="1:10">
      <c r="A314" t="s">
        <v>603</v>
      </c>
      <c r="B314" t="str">
        <f t="shared" si="4"/>
        <v>Wikirate International e.V.+Data license explicitCovestro</v>
      </c>
      <c r="C314" t="s">
        <v>577</v>
      </c>
      <c r="D314" t="s">
        <v>164</v>
      </c>
      <c r="E314">
        <v>2024</v>
      </c>
      <c r="F314" t="s">
        <v>21</v>
      </c>
      <c r="G314" t="s">
        <v>289</v>
      </c>
      <c r="H314">
        <v>22211079</v>
      </c>
      <c r="I314" t="s">
        <v>290</v>
      </c>
      <c r="J314">
        <v>1</v>
      </c>
    </row>
    <row r="315" spans="1:10">
      <c r="A315" t="s">
        <v>604</v>
      </c>
      <c r="B315" t="str">
        <f t="shared" si="4"/>
        <v>Wikirate International e.V.+Data license explicitKrones AG</v>
      </c>
      <c r="C315" t="s">
        <v>577</v>
      </c>
      <c r="D315" t="s">
        <v>168</v>
      </c>
      <c r="E315">
        <v>2024</v>
      </c>
      <c r="F315" t="s">
        <v>21</v>
      </c>
      <c r="G315" t="s">
        <v>371</v>
      </c>
      <c r="H315">
        <v>22211614</v>
      </c>
      <c r="J315">
        <v>1</v>
      </c>
    </row>
    <row r="316" spans="1:10">
      <c r="A316" t="s">
        <v>605</v>
      </c>
      <c r="B316" t="str">
        <f t="shared" si="4"/>
        <v>Wikirate International e.V.+Data license explicitHenkel AG &amp; Co. KGaA</v>
      </c>
      <c r="C316" t="s">
        <v>577</v>
      </c>
      <c r="D316" t="s">
        <v>172</v>
      </c>
      <c r="E316">
        <v>2024</v>
      </c>
      <c r="F316" t="s">
        <v>21</v>
      </c>
      <c r="G316" t="s">
        <v>374</v>
      </c>
      <c r="H316">
        <v>22211721</v>
      </c>
      <c r="I316" t="s">
        <v>375</v>
      </c>
      <c r="J316">
        <v>1</v>
      </c>
    </row>
    <row r="317" spans="1:10">
      <c r="A317" t="s">
        <v>606</v>
      </c>
      <c r="B317" t="str">
        <f t="shared" si="4"/>
        <v>Wikirate International e.V.+Data license explicitEnBW-Energie Baden-Wuerttemberg</v>
      </c>
      <c r="C317" t="s">
        <v>577</v>
      </c>
      <c r="D317" t="s">
        <v>177</v>
      </c>
      <c r="E317">
        <v>2024</v>
      </c>
      <c r="F317" t="s">
        <v>21</v>
      </c>
      <c r="G317" t="s">
        <v>377</v>
      </c>
      <c r="H317">
        <v>22218193</v>
      </c>
      <c r="J317">
        <v>1</v>
      </c>
    </row>
    <row r="318" spans="1:10">
      <c r="A318" t="s">
        <v>607</v>
      </c>
      <c r="B318" t="str">
        <f t="shared" si="4"/>
        <v>Wikirate International e.V.+Data license explicitHensoldt AG</v>
      </c>
      <c r="C318" t="s">
        <v>577</v>
      </c>
      <c r="D318" t="s">
        <v>208</v>
      </c>
      <c r="E318">
        <v>2024</v>
      </c>
      <c r="F318" t="s">
        <v>21</v>
      </c>
      <c r="G318" t="s">
        <v>297</v>
      </c>
      <c r="H318">
        <v>22218432</v>
      </c>
      <c r="J318">
        <v>1</v>
      </c>
    </row>
    <row r="319" spans="1:10">
      <c r="A319" t="s">
        <v>608</v>
      </c>
      <c r="B319" t="str">
        <f t="shared" si="4"/>
        <v>Wikirate International e.V.+Data license explicitHELLA GMBH &amp; CO. KGAA</v>
      </c>
      <c r="C319" t="s">
        <v>577</v>
      </c>
      <c r="D319" t="s">
        <v>187</v>
      </c>
      <c r="E319">
        <v>2024</v>
      </c>
      <c r="F319" t="s">
        <v>21</v>
      </c>
      <c r="G319" t="s">
        <v>384</v>
      </c>
      <c r="H319">
        <v>22218843</v>
      </c>
      <c r="J319">
        <v>1</v>
      </c>
    </row>
    <row r="320" spans="1:10">
      <c r="A320" t="s">
        <v>609</v>
      </c>
      <c r="B320" t="str">
        <f t="shared" si="4"/>
        <v>Wikirate International e.V.+Data license explicitDeere &amp; Co</v>
      </c>
      <c r="C320" t="s">
        <v>577</v>
      </c>
      <c r="D320" t="s">
        <v>197</v>
      </c>
      <c r="E320">
        <v>2024</v>
      </c>
      <c r="F320" t="s">
        <v>21</v>
      </c>
      <c r="G320" t="s">
        <v>303</v>
      </c>
      <c r="H320">
        <v>22218943</v>
      </c>
      <c r="J320">
        <v>1</v>
      </c>
    </row>
    <row r="321" spans="1:11">
      <c r="A321" t="s">
        <v>610</v>
      </c>
      <c r="B321" t="str">
        <f t="shared" si="4"/>
        <v>Wikirate International e.V.+Data license explicitAmprion GmbH</v>
      </c>
      <c r="C321" t="s">
        <v>577</v>
      </c>
      <c r="D321" t="s">
        <v>182</v>
      </c>
      <c r="E321">
        <v>2024</v>
      </c>
      <c r="F321" t="s">
        <v>21</v>
      </c>
      <c r="G321" t="s">
        <v>389</v>
      </c>
      <c r="H321">
        <v>22219018</v>
      </c>
      <c r="J321">
        <v>1</v>
      </c>
    </row>
    <row r="322" spans="1:11">
      <c r="A322" t="s">
        <v>611</v>
      </c>
      <c r="B322" t="str">
        <f t="shared" si="4"/>
        <v>Wikirate International e.V.+Data license explicitBoehringer Ingelheim GmbH</v>
      </c>
      <c r="C322" t="s">
        <v>577</v>
      </c>
      <c r="D322" t="s">
        <v>201</v>
      </c>
      <c r="E322">
        <v>2024</v>
      </c>
      <c r="F322" t="s">
        <v>15</v>
      </c>
      <c r="G322" t="s">
        <v>306</v>
      </c>
      <c r="H322">
        <v>22219140</v>
      </c>
      <c r="J322">
        <v>1</v>
      </c>
      <c r="K322" t="s">
        <v>612</v>
      </c>
    </row>
    <row r="323" spans="1:11">
      <c r="A323" t="s">
        <v>613</v>
      </c>
      <c r="B323" t="str">
        <f t="shared" si="4"/>
        <v>Wikirate International e.V.+Data license explicitRheinmetall AG</v>
      </c>
      <c r="C323" t="s">
        <v>577</v>
      </c>
      <c r="D323" t="s">
        <v>79</v>
      </c>
      <c r="E323">
        <v>2024</v>
      </c>
      <c r="F323" t="s">
        <v>21</v>
      </c>
      <c r="G323" t="s">
        <v>80</v>
      </c>
      <c r="H323">
        <v>22219820</v>
      </c>
      <c r="J323">
        <v>1</v>
      </c>
    </row>
    <row r="324" spans="1:11">
      <c r="A324" t="s">
        <v>614</v>
      </c>
      <c r="B324" t="str">
        <f t="shared" si="4"/>
        <v>Wikirate International e.V.+Data license explicitUniper SE</v>
      </c>
      <c r="C324" t="s">
        <v>577</v>
      </c>
      <c r="D324" t="s">
        <v>83</v>
      </c>
      <c r="E324">
        <v>2024</v>
      </c>
      <c r="F324" t="s">
        <v>21</v>
      </c>
      <c r="G324" t="s">
        <v>84</v>
      </c>
      <c r="H324">
        <v>22219865</v>
      </c>
      <c r="J324">
        <v>1</v>
      </c>
    </row>
    <row r="325" spans="1:11">
      <c r="A325" t="s">
        <v>615</v>
      </c>
      <c r="B325" t="str">
        <f t="shared" si="4"/>
        <v>Wikirate International e.V.+Data license explicitSiemens Energy AG</v>
      </c>
      <c r="C325" t="s">
        <v>577</v>
      </c>
      <c r="D325" t="s">
        <v>71</v>
      </c>
      <c r="E325">
        <v>2024</v>
      </c>
      <c r="F325" t="s">
        <v>21</v>
      </c>
      <c r="G325" t="s">
        <v>72</v>
      </c>
      <c r="H325">
        <v>22246035</v>
      </c>
      <c r="J325">
        <v>1</v>
      </c>
    </row>
    <row r="326" spans="1:11">
      <c r="A326" t="s">
        <v>616</v>
      </c>
      <c r="B326" t="str">
        <f t="shared" si="4"/>
        <v>Wikirate International e.V.+Data license explicit50Hertz Transmission</v>
      </c>
      <c r="C326" t="s">
        <v>577</v>
      </c>
      <c r="D326" t="s">
        <v>68</v>
      </c>
      <c r="E326">
        <v>2024</v>
      </c>
      <c r="F326" t="s">
        <v>21</v>
      </c>
      <c r="G326" t="s">
        <v>69</v>
      </c>
      <c r="H326">
        <v>22246122</v>
      </c>
      <c r="J326">
        <v>1</v>
      </c>
    </row>
    <row r="327" spans="1:11">
      <c r="A327" t="s">
        <v>617</v>
      </c>
      <c r="B327" t="str">
        <f t="shared" ref="B327:B390" si="5">C327&amp;D327</f>
        <v>Wikirate International e.V.+Data license explicitKION Group</v>
      </c>
      <c r="C327" t="s">
        <v>577</v>
      </c>
      <c r="D327" t="s">
        <v>65</v>
      </c>
      <c r="E327">
        <v>2024</v>
      </c>
      <c r="F327" t="s">
        <v>21</v>
      </c>
      <c r="G327" t="s">
        <v>66</v>
      </c>
      <c r="H327">
        <v>22246304</v>
      </c>
      <c r="J327">
        <v>1</v>
      </c>
    </row>
    <row r="328" spans="1:11">
      <c r="A328" t="s">
        <v>618</v>
      </c>
      <c r="B328" t="str">
        <f t="shared" si="5"/>
        <v>Wikirate International e.V.+Data license explicitStadtwerke Munchen GmbH</v>
      </c>
      <c r="C328" t="s">
        <v>577</v>
      </c>
      <c r="D328" t="s">
        <v>61</v>
      </c>
      <c r="E328">
        <v>2024</v>
      </c>
      <c r="F328" t="s">
        <v>21</v>
      </c>
      <c r="G328" t="s">
        <v>62</v>
      </c>
      <c r="H328">
        <v>22246399</v>
      </c>
      <c r="J328">
        <v>1</v>
      </c>
    </row>
    <row r="329" spans="1:11">
      <c r="A329" t="s">
        <v>619</v>
      </c>
      <c r="B329" t="str">
        <f t="shared" si="5"/>
        <v>Wikirate International e.V.+Data license explicitDiehl Stiftung &amp; Co. KG</v>
      </c>
      <c r="C329" t="s">
        <v>577</v>
      </c>
      <c r="D329" t="s">
        <v>53</v>
      </c>
      <c r="E329">
        <v>2024</v>
      </c>
      <c r="F329" t="s">
        <v>21</v>
      </c>
      <c r="G329" t="s">
        <v>54</v>
      </c>
      <c r="H329">
        <v>22246647</v>
      </c>
      <c r="J329">
        <v>1</v>
      </c>
    </row>
    <row r="330" spans="1:11">
      <c r="A330" t="s">
        <v>620</v>
      </c>
      <c r="B330" t="str">
        <f t="shared" si="5"/>
        <v>Wikirate International e.V.+Data license explicitMerck KGaA</v>
      </c>
      <c r="C330" t="s">
        <v>577</v>
      </c>
      <c r="D330" t="s">
        <v>49</v>
      </c>
      <c r="E330">
        <v>2024</v>
      </c>
      <c r="F330" t="s">
        <v>21</v>
      </c>
      <c r="G330" t="s">
        <v>50</v>
      </c>
      <c r="H330">
        <v>22246783</v>
      </c>
      <c r="J330">
        <v>1</v>
      </c>
    </row>
    <row r="331" spans="1:11">
      <c r="A331" t="s">
        <v>621</v>
      </c>
      <c r="B331" t="str">
        <f t="shared" si="5"/>
        <v>Wikirate International e.V.+Data license explicitEvonik</v>
      </c>
      <c r="C331" t="s">
        <v>577</v>
      </c>
      <c r="D331" t="s">
        <v>45</v>
      </c>
      <c r="E331">
        <v>2024</v>
      </c>
      <c r="F331" t="s">
        <v>21</v>
      </c>
      <c r="G331" t="s">
        <v>46</v>
      </c>
      <c r="H331">
        <v>22246915</v>
      </c>
      <c r="J331">
        <v>1</v>
      </c>
    </row>
    <row r="332" spans="1:11">
      <c r="A332" t="s">
        <v>622</v>
      </c>
      <c r="B332" t="str">
        <f t="shared" si="5"/>
        <v>Wikirate International e.V.+Data license explicitKNDS Group</v>
      </c>
      <c r="C332" t="s">
        <v>577</v>
      </c>
      <c r="D332" t="s">
        <v>42</v>
      </c>
      <c r="E332">
        <v>2024</v>
      </c>
      <c r="F332" t="s">
        <v>21</v>
      </c>
      <c r="G332" t="s">
        <v>43</v>
      </c>
      <c r="H332">
        <v>22247030</v>
      </c>
      <c r="J332">
        <v>1</v>
      </c>
    </row>
    <row r="333" spans="1:11">
      <c r="A333" t="s">
        <v>623</v>
      </c>
      <c r="B333" t="str">
        <f t="shared" si="5"/>
        <v>Wikirate International e.V.+Data license explicitLockheed Martin</v>
      </c>
      <c r="C333" t="s">
        <v>577</v>
      </c>
      <c r="D333" t="s">
        <v>38</v>
      </c>
      <c r="E333">
        <v>2024</v>
      </c>
      <c r="F333" t="s">
        <v>15</v>
      </c>
      <c r="G333" t="s">
        <v>39</v>
      </c>
      <c r="H333">
        <v>22247105</v>
      </c>
      <c r="J333">
        <v>1</v>
      </c>
      <c r="K333" t="s">
        <v>1566</v>
      </c>
    </row>
    <row r="334" spans="1:11">
      <c r="A334" t="s">
        <v>624</v>
      </c>
      <c r="B334" t="str">
        <f t="shared" si="5"/>
        <v>Wikirate International e.V.+Data license explicitLeonardo</v>
      </c>
      <c r="C334" t="s">
        <v>577</v>
      </c>
      <c r="D334" t="s">
        <v>33</v>
      </c>
      <c r="E334">
        <v>2024</v>
      </c>
      <c r="F334" t="s">
        <v>21</v>
      </c>
      <c r="G334" t="s">
        <v>34</v>
      </c>
      <c r="H334">
        <v>22247381</v>
      </c>
      <c r="I334" t="s">
        <v>35</v>
      </c>
      <c r="J334">
        <v>1</v>
      </c>
    </row>
    <row r="335" spans="1:11">
      <c r="A335" t="s">
        <v>625</v>
      </c>
      <c r="B335" t="str">
        <f t="shared" si="5"/>
        <v>Wikirate International e.V.+Data license explicitGelsenwasser</v>
      </c>
      <c r="C335" t="s">
        <v>577</v>
      </c>
      <c r="D335" t="s">
        <v>29</v>
      </c>
      <c r="E335">
        <v>2024</v>
      </c>
      <c r="F335" t="s">
        <v>21</v>
      </c>
      <c r="G335" t="s">
        <v>30</v>
      </c>
      <c r="H335">
        <v>22247816</v>
      </c>
      <c r="J335">
        <v>1</v>
      </c>
    </row>
    <row r="336" spans="1:11">
      <c r="A336" t="s">
        <v>626</v>
      </c>
      <c r="B336" t="str">
        <f t="shared" si="5"/>
        <v>Wikirate International e.V.+Data license explicitWacker Chemie</v>
      </c>
      <c r="C336" t="s">
        <v>577</v>
      </c>
      <c r="D336" t="s">
        <v>24</v>
      </c>
      <c r="E336">
        <v>2024</v>
      </c>
      <c r="F336" t="s">
        <v>21</v>
      </c>
      <c r="G336" t="s">
        <v>25</v>
      </c>
      <c r="H336">
        <v>22249922</v>
      </c>
      <c r="I336" t="s">
        <v>26</v>
      </c>
      <c r="J336">
        <v>1</v>
      </c>
    </row>
    <row r="337" spans="1:11">
      <c r="A337" t="s">
        <v>627</v>
      </c>
      <c r="B337" t="str">
        <f t="shared" si="5"/>
        <v>Wikirate International e.V.+Data license explicitTh√ºga Holding</v>
      </c>
      <c r="C337" t="s">
        <v>577</v>
      </c>
      <c r="D337" t="s">
        <v>20</v>
      </c>
      <c r="E337">
        <v>2024</v>
      </c>
      <c r="F337" t="s">
        <v>21</v>
      </c>
      <c r="G337" t="s">
        <v>1531</v>
      </c>
      <c r="H337">
        <v>22250794</v>
      </c>
      <c r="J337">
        <v>1</v>
      </c>
    </row>
    <row r="338" spans="1:11">
      <c r="A338" t="s">
        <v>628</v>
      </c>
      <c r="B338" t="str">
        <f t="shared" si="5"/>
        <v>Wikirate International e.V.+Direct links to referenced documentsBMW AG</v>
      </c>
      <c r="C338" t="s">
        <v>629</v>
      </c>
      <c r="D338" t="s">
        <v>92</v>
      </c>
      <c r="E338">
        <v>2024</v>
      </c>
      <c r="F338" t="s">
        <v>15</v>
      </c>
      <c r="G338" t="s">
        <v>329</v>
      </c>
      <c r="H338">
        <v>21483522</v>
      </c>
      <c r="I338" t="s">
        <v>330</v>
      </c>
      <c r="J338">
        <v>1</v>
      </c>
      <c r="K338" t="s">
        <v>630</v>
      </c>
    </row>
    <row r="339" spans="1:11">
      <c r="A339" t="s">
        <v>631</v>
      </c>
      <c r="B339" t="str">
        <f t="shared" si="5"/>
        <v>Wikirate International e.V.+Direct links to referenced documentsAirbus Group</v>
      </c>
      <c r="C339" t="s">
        <v>629</v>
      </c>
      <c r="D339" t="s">
        <v>74</v>
      </c>
      <c r="E339">
        <v>2024</v>
      </c>
      <c r="F339" t="s">
        <v>15</v>
      </c>
      <c r="G339" t="s">
        <v>75</v>
      </c>
      <c r="H339">
        <v>21484432</v>
      </c>
      <c r="I339" t="s">
        <v>76</v>
      </c>
      <c r="J339">
        <v>1</v>
      </c>
      <c r="K339" t="s">
        <v>632</v>
      </c>
    </row>
    <row r="340" spans="1:11">
      <c r="A340" t="s">
        <v>633</v>
      </c>
      <c r="B340" t="str">
        <f t="shared" si="5"/>
        <v>Wikirate International e.V.+Direct links to referenced documentsBASF SE</v>
      </c>
      <c r="C340" t="s">
        <v>629</v>
      </c>
      <c r="D340" t="s">
        <v>108</v>
      </c>
      <c r="E340">
        <v>2024</v>
      </c>
      <c r="F340" t="s">
        <v>15</v>
      </c>
      <c r="G340" t="s">
        <v>339</v>
      </c>
      <c r="H340">
        <v>21484941</v>
      </c>
      <c r="I340" t="s">
        <v>340</v>
      </c>
      <c r="J340">
        <v>1</v>
      </c>
      <c r="K340" t="s">
        <v>634</v>
      </c>
    </row>
    <row r="341" spans="1:11">
      <c r="A341" t="s">
        <v>635</v>
      </c>
      <c r="B341" t="str">
        <f t="shared" si="5"/>
        <v>Wikirate International e.V.+Direct links to referenced documentsVolkswagen AG</v>
      </c>
      <c r="C341" t="s">
        <v>629</v>
      </c>
      <c r="D341" t="s">
        <v>112</v>
      </c>
      <c r="E341">
        <v>2024</v>
      </c>
      <c r="F341" t="s">
        <v>21</v>
      </c>
      <c r="G341" t="s">
        <v>342</v>
      </c>
      <c r="H341">
        <v>21485307</v>
      </c>
      <c r="I341" t="s">
        <v>343</v>
      </c>
      <c r="J341">
        <v>1</v>
      </c>
    </row>
    <row r="342" spans="1:11">
      <c r="A342" t="s">
        <v>636</v>
      </c>
      <c r="B342" t="str">
        <f t="shared" si="5"/>
        <v>Wikirate International e.V.+Direct links to referenced documentsMercedes-Benz AG</v>
      </c>
      <c r="C342" t="s">
        <v>629</v>
      </c>
      <c r="D342" t="s">
        <v>102</v>
      </c>
      <c r="E342">
        <v>2024</v>
      </c>
      <c r="F342" t="s">
        <v>21</v>
      </c>
      <c r="G342" t="s">
        <v>249</v>
      </c>
      <c r="H342">
        <v>21485579</v>
      </c>
      <c r="I342" t="s">
        <v>250</v>
      </c>
      <c r="J342">
        <v>1</v>
      </c>
      <c r="K342" t="s">
        <v>637</v>
      </c>
    </row>
    <row r="343" spans="1:11">
      <c r="A343" t="s">
        <v>638</v>
      </c>
      <c r="B343" t="str">
        <f t="shared" si="5"/>
        <v>Wikirate International e.V.+Direct links to referenced documentsE.ON SE</v>
      </c>
      <c r="C343" t="s">
        <v>629</v>
      </c>
      <c r="D343" t="s">
        <v>57</v>
      </c>
      <c r="E343">
        <v>2024</v>
      </c>
      <c r="F343" t="s">
        <v>21</v>
      </c>
      <c r="G343" t="s">
        <v>58</v>
      </c>
      <c r="H343">
        <v>21486520</v>
      </c>
      <c r="J343">
        <v>1</v>
      </c>
    </row>
    <row r="344" spans="1:11">
      <c r="A344" t="s">
        <v>639</v>
      </c>
      <c r="B344" t="str">
        <f t="shared" si="5"/>
        <v>Wikirate International e.V.+Direct links to referenced documentsBayer AG</v>
      </c>
      <c r="C344" t="s">
        <v>629</v>
      </c>
      <c r="D344" t="s">
        <v>87</v>
      </c>
      <c r="E344">
        <v>2024</v>
      </c>
      <c r="F344" t="s">
        <v>21</v>
      </c>
      <c r="G344" t="s">
        <v>88</v>
      </c>
      <c r="H344">
        <v>21486674</v>
      </c>
      <c r="J344">
        <v>1</v>
      </c>
    </row>
    <row r="345" spans="1:11">
      <c r="A345" t="s">
        <v>640</v>
      </c>
      <c r="B345" t="str">
        <f t="shared" si="5"/>
        <v>Wikirate International e.V.+Direct links to referenced documentsRWE Group</v>
      </c>
      <c r="C345" t="s">
        <v>629</v>
      </c>
      <c r="D345" t="s">
        <v>14</v>
      </c>
      <c r="E345">
        <v>2024</v>
      </c>
      <c r="F345" t="s">
        <v>21</v>
      </c>
      <c r="G345" t="s">
        <v>16</v>
      </c>
      <c r="H345">
        <v>21487438</v>
      </c>
      <c r="I345" t="s">
        <v>17</v>
      </c>
      <c r="J345">
        <v>1</v>
      </c>
      <c r="K345" t="s">
        <v>641</v>
      </c>
    </row>
    <row r="346" spans="1:11">
      <c r="A346" t="s">
        <v>642</v>
      </c>
      <c r="B346" t="str">
        <f t="shared" si="5"/>
        <v>Wikirate International e.V.+Direct links to referenced documentsDaimler Truck AG</v>
      </c>
      <c r="C346" t="s">
        <v>629</v>
      </c>
      <c r="D346" t="s">
        <v>118</v>
      </c>
      <c r="E346">
        <v>2024</v>
      </c>
      <c r="F346" t="s">
        <v>15</v>
      </c>
      <c r="G346" t="s">
        <v>119</v>
      </c>
      <c r="H346">
        <v>21487981</v>
      </c>
      <c r="I346" t="s">
        <v>120</v>
      </c>
      <c r="J346">
        <v>1</v>
      </c>
      <c r="K346" t="s">
        <v>643</v>
      </c>
    </row>
    <row r="347" spans="1:11">
      <c r="A347" t="s">
        <v>644</v>
      </c>
      <c r="B347" t="str">
        <f t="shared" si="5"/>
        <v>Wikirate International e.V.+Direct links to referenced documentsJenoptik AG</v>
      </c>
      <c r="C347" t="s">
        <v>629</v>
      </c>
      <c r="D347" t="s">
        <v>123</v>
      </c>
      <c r="E347">
        <v>2024</v>
      </c>
      <c r="F347" t="s">
        <v>21</v>
      </c>
      <c r="G347" t="s">
        <v>261</v>
      </c>
      <c r="H347">
        <v>21488122</v>
      </c>
      <c r="J347">
        <v>1</v>
      </c>
    </row>
    <row r="348" spans="1:11">
      <c r="A348" t="s">
        <v>645</v>
      </c>
      <c r="B348" t="str">
        <f t="shared" si="5"/>
        <v>Wikirate International e.V.+Direct links to referenced documentsContinental AG</v>
      </c>
      <c r="C348" t="s">
        <v>629</v>
      </c>
      <c r="D348" t="s">
        <v>126</v>
      </c>
      <c r="E348">
        <v>2024</v>
      </c>
      <c r="F348" t="s">
        <v>21</v>
      </c>
      <c r="G348" t="s">
        <v>353</v>
      </c>
      <c r="H348">
        <v>22205658</v>
      </c>
      <c r="I348" t="s">
        <v>354</v>
      </c>
      <c r="J348">
        <v>1</v>
      </c>
      <c r="K348" t="s">
        <v>646</v>
      </c>
    </row>
    <row r="349" spans="1:11">
      <c r="A349" t="s">
        <v>647</v>
      </c>
      <c r="B349" t="str">
        <f t="shared" si="5"/>
        <v>Wikirate International e.V.+Direct links to referenced documentsThyssenKrupp Group</v>
      </c>
      <c r="C349" t="s">
        <v>629</v>
      </c>
      <c r="D349" t="s">
        <v>129</v>
      </c>
      <c r="E349">
        <v>2024</v>
      </c>
      <c r="F349" t="s">
        <v>21</v>
      </c>
      <c r="G349" t="s">
        <v>265</v>
      </c>
      <c r="H349">
        <v>22206200</v>
      </c>
      <c r="I349" t="s">
        <v>266</v>
      </c>
      <c r="J349">
        <v>1</v>
      </c>
    </row>
    <row r="350" spans="1:11">
      <c r="A350" t="s">
        <v>648</v>
      </c>
      <c r="B350" t="str">
        <f t="shared" si="5"/>
        <v>Wikirate International e.V.+Direct links to referenced documentsHelm AG</v>
      </c>
      <c r="C350" t="s">
        <v>629</v>
      </c>
      <c r="D350" t="s">
        <v>132</v>
      </c>
      <c r="E350">
        <v>2024</v>
      </c>
      <c r="F350" t="s">
        <v>21</v>
      </c>
      <c r="G350" t="s">
        <v>268</v>
      </c>
      <c r="H350">
        <v>22206404</v>
      </c>
      <c r="J350">
        <v>1</v>
      </c>
      <c r="K350" t="s">
        <v>649</v>
      </c>
    </row>
    <row r="351" spans="1:11">
      <c r="A351" t="s">
        <v>650</v>
      </c>
      <c r="B351" t="str">
        <f t="shared" si="5"/>
        <v>Wikirate International e.V.+Direct links to referenced documentsGEA Group</v>
      </c>
      <c r="C351" t="s">
        <v>629</v>
      </c>
      <c r="D351" t="s">
        <v>135</v>
      </c>
      <c r="E351">
        <v>2024</v>
      </c>
      <c r="F351" t="s">
        <v>21</v>
      </c>
      <c r="G351" t="s">
        <v>360</v>
      </c>
      <c r="H351">
        <v>22206978</v>
      </c>
      <c r="J351">
        <v>1</v>
      </c>
    </row>
    <row r="352" spans="1:11">
      <c r="A352" t="s">
        <v>651</v>
      </c>
      <c r="B352" t="str">
        <f t="shared" si="5"/>
        <v>Wikirate International e.V.+Direct links to referenced documentsRobert Bosch GmbH</v>
      </c>
      <c r="C352" t="s">
        <v>629</v>
      </c>
      <c r="D352" t="s">
        <v>138</v>
      </c>
      <c r="E352">
        <v>2024</v>
      </c>
      <c r="F352" t="s">
        <v>15</v>
      </c>
      <c r="G352" t="s">
        <v>273</v>
      </c>
      <c r="H352">
        <v>22208552</v>
      </c>
      <c r="I352" t="s">
        <v>274</v>
      </c>
      <c r="J352">
        <v>1</v>
      </c>
      <c r="K352" t="s">
        <v>652</v>
      </c>
    </row>
    <row r="353" spans="1:11">
      <c r="A353" t="s">
        <v>653</v>
      </c>
      <c r="B353" t="str">
        <f t="shared" si="5"/>
        <v>Wikirate International e.V.+Direct links to referenced documentsMahle GmbH</v>
      </c>
      <c r="C353" t="s">
        <v>629</v>
      </c>
      <c r="D353" t="s">
        <v>142</v>
      </c>
      <c r="E353">
        <v>2024</v>
      </c>
      <c r="F353" t="s">
        <v>21</v>
      </c>
      <c r="G353" t="s">
        <v>276</v>
      </c>
      <c r="H353">
        <v>22208671</v>
      </c>
      <c r="J353">
        <v>1</v>
      </c>
    </row>
    <row r="354" spans="1:11">
      <c r="A354" t="s">
        <v>654</v>
      </c>
      <c r="B354" t="str">
        <f t="shared" si="5"/>
        <v>Wikirate International e.V.+Direct links to referenced documentsVoith</v>
      </c>
      <c r="C354" t="s">
        <v>629</v>
      </c>
      <c r="D354" t="s">
        <v>145</v>
      </c>
      <c r="E354">
        <v>2024</v>
      </c>
      <c r="F354" t="s">
        <v>15</v>
      </c>
      <c r="G354" t="s">
        <v>278</v>
      </c>
      <c r="H354">
        <v>22208931</v>
      </c>
      <c r="I354" t="s">
        <v>279</v>
      </c>
      <c r="J354">
        <v>1</v>
      </c>
      <c r="K354" t="s">
        <v>655</v>
      </c>
    </row>
    <row r="355" spans="1:11">
      <c r="A355" t="s">
        <v>656</v>
      </c>
      <c r="B355" t="str">
        <f t="shared" si="5"/>
        <v>Wikirate International e.V.+Direct links to referenced documentsSiemens AG</v>
      </c>
      <c r="C355" t="s">
        <v>629</v>
      </c>
      <c r="D355" t="s">
        <v>148</v>
      </c>
      <c r="E355">
        <v>2024</v>
      </c>
      <c r="F355" t="s">
        <v>15</v>
      </c>
      <c r="G355" t="s">
        <v>270</v>
      </c>
      <c r="H355">
        <v>22209103</v>
      </c>
      <c r="J355">
        <v>1</v>
      </c>
      <c r="K355" t="s">
        <v>657</v>
      </c>
    </row>
    <row r="356" spans="1:11">
      <c r="A356" t="s">
        <v>658</v>
      </c>
      <c r="B356" t="str">
        <f t="shared" si="5"/>
        <v>Wikirate International e.V.+Direct links to referenced documentsZF Friedrichshafen</v>
      </c>
      <c r="C356" t="s">
        <v>629</v>
      </c>
      <c r="D356" t="s">
        <v>152</v>
      </c>
      <c r="E356">
        <v>2024</v>
      </c>
      <c r="F356" t="s">
        <v>21</v>
      </c>
      <c r="G356" t="s">
        <v>283</v>
      </c>
      <c r="H356">
        <v>22209234</v>
      </c>
      <c r="J356">
        <v>1</v>
      </c>
      <c r="K356" t="s">
        <v>659</v>
      </c>
    </row>
    <row r="357" spans="1:11">
      <c r="A357" t="s">
        <v>660</v>
      </c>
      <c r="B357" t="str">
        <f t="shared" si="5"/>
        <v>Wikirate International e.V.+Direct links to referenced documentsJungheinrich AG</v>
      </c>
      <c r="C357" t="s">
        <v>629</v>
      </c>
      <c r="D357" t="s">
        <v>155</v>
      </c>
      <c r="E357">
        <v>2024</v>
      </c>
      <c r="F357" t="s">
        <v>21</v>
      </c>
      <c r="G357" t="s">
        <v>285</v>
      </c>
      <c r="H357">
        <v>22209355</v>
      </c>
      <c r="J357">
        <v>1</v>
      </c>
    </row>
    <row r="358" spans="1:11">
      <c r="A358" t="s">
        <v>661</v>
      </c>
      <c r="B358" t="str">
        <f t="shared" si="5"/>
        <v>Wikirate International e.V.+Direct links to referenced documentsSchaeffler Technologies</v>
      </c>
      <c r="C358" t="s">
        <v>629</v>
      </c>
      <c r="D358" t="s">
        <v>1618</v>
      </c>
      <c r="E358">
        <v>2024</v>
      </c>
      <c r="F358" t="s">
        <v>21</v>
      </c>
      <c r="G358" t="s">
        <v>281</v>
      </c>
      <c r="H358">
        <v>22209439</v>
      </c>
      <c r="J358">
        <v>1</v>
      </c>
    </row>
    <row r="359" spans="1:11">
      <c r="A359" t="s">
        <v>662</v>
      </c>
      <c r="B359" t="str">
        <f t="shared" si="5"/>
        <v>Wikirate International e.V.+Direct links to referenced documentsCovestro</v>
      </c>
      <c r="C359" t="s">
        <v>629</v>
      </c>
      <c r="D359" t="s">
        <v>164</v>
      </c>
      <c r="E359">
        <v>2024</v>
      </c>
      <c r="F359" t="s">
        <v>21</v>
      </c>
      <c r="G359" t="s">
        <v>289</v>
      </c>
      <c r="H359">
        <v>22211018</v>
      </c>
      <c r="I359" t="s">
        <v>290</v>
      </c>
      <c r="J359">
        <v>2</v>
      </c>
      <c r="K359" t="s">
        <v>1567</v>
      </c>
    </row>
    <row r="360" spans="1:11">
      <c r="A360" t="s">
        <v>663</v>
      </c>
      <c r="B360" t="str">
        <f t="shared" si="5"/>
        <v>Wikirate International e.V.+Direct links to referenced documentsKrones AG</v>
      </c>
      <c r="C360" t="s">
        <v>629</v>
      </c>
      <c r="D360" t="s">
        <v>168</v>
      </c>
      <c r="E360">
        <v>2024</v>
      </c>
      <c r="F360" t="s">
        <v>21</v>
      </c>
      <c r="G360" t="s">
        <v>371</v>
      </c>
      <c r="H360">
        <v>22211503</v>
      </c>
      <c r="J360">
        <v>1</v>
      </c>
      <c r="K360" t="s">
        <v>664</v>
      </c>
    </row>
    <row r="361" spans="1:11">
      <c r="A361" t="s">
        <v>665</v>
      </c>
      <c r="B361" t="str">
        <f t="shared" si="5"/>
        <v>Wikirate International e.V.+Direct links to referenced documentsHenkel AG &amp; Co. KGaA</v>
      </c>
      <c r="C361" t="s">
        <v>629</v>
      </c>
      <c r="D361" t="s">
        <v>172</v>
      </c>
      <c r="E361">
        <v>2024</v>
      </c>
      <c r="F361" t="s">
        <v>21</v>
      </c>
      <c r="G361" t="s">
        <v>374</v>
      </c>
      <c r="H361">
        <v>22211672</v>
      </c>
      <c r="I361" t="s">
        <v>375</v>
      </c>
      <c r="J361">
        <v>1</v>
      </c>
      <c r="K361" t="s">
        <v>666</v>
      </c>
    </row>
    <row r="362" spans="1:11">
      <c r="A362" t="s">
        <v>667</v>
      </c>
      <c r="B362" t="str">
        <f t="shared" si="5"/>
        <v>Wikirate International e.V.+Direct links to referenced documentsEnBW-Energie Baden-Wuerttemberg</v>
      </c>
      <c r="C362" t="s">
        <v>629</v>
      </c>
      <c r="D362" t="s">
        <v>177</v>
      </c>
      <c r="E362">
        <v>2024</v>
      </c>
      <c r="F362" t="s">
        <v>15</v>
      </c>
      <c r="G362" t="s">
        <v>377</v>
      </c>
      <c r="H362">
        <v>22218152</v>
      </c>
      <c r="J362">
        <v>1</v>
      </c>
      <c r="K362" t="s">
        <v>668</v>
      </c>
    </row>
    <row r="363" spans="1:11">
      <c r="A363" t="s">
        <v>669</v>
      </c>
      <c r="B363" t="str">
        <f t="shared" si="5"/>
        <v>Wikirate International e.V.+Direct links to referenced documentsD√ºrr Group</v>
      </c>
      <c r="C363" t="s">
        <v>629</v>
      </c>
      <c r="D363" t="s">
        <v>191</v>
      </c>
      <c r="E363">
        <v>2024</v>
      </c>
      <c r="F363" t="s">
        <v>21</v>
      </c>
      <c r="G363" t="s">
        <v>299</v>
      </c>
      <c r="H363">
        <v>22218657</v>
      </c>
      <c r="I363" t="s">
        <v>300</v>
      </c>
      <c r="J363">
        <v>1</v>
      </c>
    </row>
    <row r="364" spans="1:11">
      <c r="A364" t="s">
        <v>670</v>
      </c>
      <c r="B364" t="str">
        <f t="shared" si="5"/>
        <v>Wikirate International e.V.+Direct links to referenced documentsLanxess</v>
      </c>
      <c r="C364" t="s">
        <v>629</v>
      </c>
      <c r="D364" t="s">
        <v>194</v>
      </c>
      <c r="E364">
        <v>2024</v>
      </c>
      <c r="F364" t="s">
        <v>21</v>
      </c>
      <c r="G364" t="s">
        <v>287</v>
      </c>
      <c r="H364">
        <v>22218755</v>
      </c>
      <c r="J364">
        <v>1</v>
      </c>
      <c r="K364" t="s">
        <v>671</v>
      </c>
    </row>
    <row r="365" spans="1:11">
      <c r="A365" t="s">
        <v>672</v>
      </c>
      <c r="B365" t="str">
        <f t="shared" si="5"/>
        <v>Wikirate International e.V.+Direct links to referenced documentsHELLA GMBH &amp; CO. KGAA</v>
      </c>
      <c r="C365" t="s">
        <v>629</v>
      </c>
      <c r="D365" t="s">
        <v>187</v>
      </c>
      <c r="E365">
        <v>2024</v>
      </c>
      <c r="F365" t="s">
        <v>21</v>
      </c>
      <c r="G365" t="s">
        <v>384</v>
      </c>
      <c r="H365">
        <v>22218798</v>
      </c>
      <c r="J365">
        <v>1</v>
      </c>
    </row>
    <row r="366" spans="1:11">
      <c r="A366" t="s">
        <v>673</v>
      </c>
      <c r="B366" t="str">
        <f t="shared" si="5"/>
        <v>Wikirate International e.V.+Direct links to referenced documentsDeere &amp; Co</v>
      </c>
      <c r="C366" t="s">
        <v>629</v>
      </c>
      <c r="D366" t="s">
        <v>197</v>
      </c>
      <c r="E366">
        <v>2024</v>
      </c>
      <c r="F366" t="s">
        <v>15</v>
      </c>
      <c r="G366" t="s">
        <v>303</v>
      </c>
      <c r="H366">
        <v>22218894</v>
      </c>
      <c r="J366">
        <v>1</v>
      </c>
      <c r="K366" t="s">
        <v>674</v>
      </c>
    </row>
    <row r="367" spans="1:11">
      <c r="A367" t="s">
        <v>675</v>
      </c>
      <c r="B367" t="str">
        <f t="shared" si="5"/>
        <v>Wikirate International e.V.+Direct links to referenced documentsAmprion GmbH</v>
      </c>
      <c r="C367" t="s">
        <v>629</v>
      </c>
      <c r="D367" t="s">
        <v>182</v>
      </c>
      <c r="E367">
        <v>2024</v>
      </c>
      <c r="F367" t="s">
        <v>15</v>
      </c>
      <c r="G367" t="s">
        <v>389</v>
      </c>
      <c r="H367">
        <v>22218987</v>
      </c>
      <c r="J367">
        <v>1</v>
      </c>
      <c r="K367" t="s">
        <v>676</v>
      </c>
    </row>
    <row r="368" spans="1:11">
      <c r="A368" t="s">
        <v>677</v>
      </c>
      <c r="B368" t="str">
        <f t="shared" si="5"/>
        <v>Wikirate International e.V.+Direct links to referenced documentsBoehringer Ingelheim GmbH</v>
      </c>
      <c r="C368" t="s">
        <v>629</v>
      </c>
      <c r="D368" t="s">
        <v>201</v>
      </c>
      <c r="E368">
        <v>2024</v>
      </c>
      <c r="F368" t="s">
        <v>21</v>
      </c>
      <c r="G368" t="s">
        <v>306</v>
      </c>
      <c r="H368">
        <v>22219097</v>
      </c>
      <c r="J368">
        <v>1</v>
      </c>
      <c r="K368" t="s">
        <v>678</v>
      </c>
    </row>
    <row r="369" spans="1:11">
      <c r="A369" t="s">
        <v>679</v>
      </c>
      <c r="B369" t="str">
        <f t="shared" si="5"/>
        <v>Wikirate International e.V.+Direct links to referenced documentsHensoldt AG</v>
      </c>
      <c r="C369" t="s">
        <v>629</v>
      </c>
      <c r="D369" t="s">
        <v>208</v>
      </c>
      <c r="E369">
        <v>2024</v>
      </c>
      <c r="F369" t="s">
        <v>21</v>
      </c>
      <c r="G369" t="s">
        <v>297</v>
      </c>
      <c r="H369">
        <v>22219211</v>
      </c>
      <c r="J369">
        <v>1</v>
      </c>
    </row>
    <row r="370" spans="1:11">
      <c r="A370" t="s">
        <v>680</v>
      </c>
      <c r="B370" t="str">
        <f t="shared" si="5"/>
        <v>Wikirate International e.V.+Direct links to referenced documentsRheinmetall AG</v>
      </c>
      <c r="C370" t="s">
        <v>629</v>
      </c>
      <c r="D370" t="s">
        <v>79</v>
      </c>
      <c r="E370">
        <v>2024</v>
      </c>
      <c r="F370" t="s">
        <v>21</v>
      </c>
      <c r="G370" t="s">
        <v>80</v>
      </c>
      <c r="H370">
        <v>22219574</v>
      </c>
      <c r="J370">
        <v>1</v>
      </c>
    </row>
    <row r="371" spans="1:11">
      <c r="A371" t="s">
        <v>681</v>
      </c>
      <c r="B371" t="str">
        <f t="shared" si="5"/>
        <v>Wikirate International e.V.+Direct links to referenced documentsUniper SE</v>
      </c>
      <c r="C371" t="s">
        <v>629</v>
      </c>
      <c r="D371" t="s">
        <v>83</v>
      </c>
      <c r="E371">
        <v>2024</v>
      </c>
      <c r="F371" t="s">
        <v>21</v>
      </c>
      <c r="G371" t="s">
        <v>84</v>
      </c>
      <c r="H371">
        <v>22219699</v>
      </c>
      <c r="J371">
        <v>1</v>
      </c>
    </row>
    <row r="372" spans="1:11">
      <c r="A372" t="s">
        <v>682</v>
      </c>
      <c r="B372" t="str">
        <f t="shared" si="5"/>
        <v>Wikirate International e.V.+Direct links to referenced documentsSiemens Energy AG</v>
      </c>
      <c r="C372" t="s">
        <v>629</v>
      </c>
      <c r="D372" t="s">
        <v>71</v>
      </c>
      <c r="E372">
        <v>2024</v>
      </c>
      <c r="F372" t="s">
        <v>21</v>
      </c>
      <c r="G372" t="s">
        <v>72</v>
      </c>
      <c r="H372">
        <v>22245993</v>
      </c>
      <c r="J372">
        <v>1</v>
      </c>
    </row>
    <row r="373" spans="1:11">
      <c r="A373" t="s">
        <v>683</v>
      </c>
      <c r="B373" t="str">
        <f t="shared" si="5"/>
        <v>Wikirate International e.V.+Direct links to referenced documents50Hertz Transmission</v>
      </c>
      <c r="C373" t="s">
        <v>629</v>
      </c>
      <c r="D373" t="s">
        <v>68</v>
      </c>
      <c r="E373">
        <v>2024</v>
      </c>
      <c r="F373" t="s">
        <v>21</v>
      </c>
      <c r="G373" t="s">
        <v>69</v>
      </c>
      <c r="H373">
        <v>22246092</v>
      </c>
      <c r="J373">
        <v>1</v>
      </c>
      <c r="K373" t="s">
        <v>684</v>
      </c>
    </row>
    <row r="374" spans="1:11">
      <c r="A374" t="s">
        <v>685</v>
      </c>
      <c r="B374" t="str">
        <f t="shared" si="5"/>
        <v>Wikirate International e.V.+Direct links to referenced documentsKION Group</v>
      </c>
      <c r="C374" t="s">
        <v>629</v>
      </c>
      <c r="D374" t="s">
        <v>65</v>
      </c>
      <c r="E374">
        <v>2024</v>
      </c>
      <c r="F374" t="s">
        <v>21</v>
      </c>
      <c r="G374" t="s">
        <v>66</v>
      </c>
      <c r="H374">
        <v>22246214</v>
      </c>
      <c r="J374">
        <v>1</v>
      </c>
      <c r="K374" t="s">
        <v>1568</v>
      </c>
    </row>
    <row r="375" spans="1:11">
      <c r="A375" t="s">
        <v>686</v>
      </c>
      <c r="B375" t="str">
        <f t="shared" si="5"/>
        <v>Wikirate International e.V.+Direct links to referenced documentsStadtwerke Munchen GmbH</v>
      </c>
      <c r="C375" t="s">
        <v>629</v>
      </c>
      <c r="D375" t="s">
        <v>61</v>
      </c>
      <c r="E375">
        <v>2024</v>
      </c>
      <c r="F375" t="s">
        <v>15</v>
      </c>
      <c r="G375" t="s">
        <v>62</v>
      </c>
      <c r="H375">
        <v>22246343</v>
      </c>
      <c r="J375">
        <v>1</v>
      </c>
      <c r="K375" t="s">
        <v>687</v>
      </c>
    </row>
    <row r="376" spans="1:11">
      <c r="A376" t="s">
        <v>688</v>
      </c>
      <c r="B376" t="str">
        <f t="shared" si="5"/>
        <v>Wikirate International e.V.+Direct links to referenced documentsLockheed Martin</v>
      </c>
      <c r="C376" t="s">
        <v>629</v>
      </c>
      <c r="D376" t="s">
        <v>38</v>
      </c>
      <c r="E376">
        <v>2024</v>
      </c>
      <c r="F376" t="s">
        <v>15</v>
      </c>
      <c r="G376" t="s">
        <v>39</v>
      </c>
      <c r="H376">
        <v>22246508</v>
      </c>
      <c r="J376">
        <v>1</v>
      </c>
      <c r="K376" t="s">
        <v>1569</v>
      </c>
    </row>
    <row r="377" spans="1:11">
      <c r="A377" t="s">
        <v>689</v>
      </c>
      <c r="B377" t="str">
        <f t="shared" si="5"/>
        <v>Wikirate International e.V.+Direct links to referenced documentsDiehl Stiftung &amp; Co. KG</v>
      </c>
      <c r="C377" t="s">
        <v>629</v>
      </c>
      <c r="D377" t="s">
        <v>53</v>
      </c>
      <c r="E377">
        <v>2024</v>
      </c>
      <c r="F377" t="s">
        <v>21</v>
      </c>
      <c r="G377" t="s">
        <v>54</v>
      </c>
      <c r="H377">
        <v>22246602</v>
      </c>
      <c r="J377">
        <v>1</v>
      </c>
    </row>
    <row r="378" spans="1:11">
      <c r="A378" t="s">
        <v>690</v>
      </c>
      <c r="B378" t="str">
        <f t="shared" si="5"/>
        <v>Wikirate International e.V.+Direct links to referenced documentsMerck KGaA</v>
      </c>
      <c r="C378" t="s">
        <v>629</v>
      </c>
      <c r="D378" t="s">
        <v>49</v>
      </c>
      <c r="E378">
        <v>2024</v>
      </c>
      <c r="F378" t="s">
        <v>15</v>
      </c>
      <c r="G378" t="s">
        <v>50</v>
      </c>
      <c r="H378">
        <v>22246736</v>
      </c>
      <c r="J378">
        <v>1</v>
      </c>
      <c r="K378" t="s">
        <v>691</v>
      </c>
    </row>
    <row r="379" spans="1:11">
      <c r="A379" t="s">
        <v>692</v>
      </c>
      <c r="B379" t="str">
        <f t="shared" si="5"/>
        <v>Wikirate International e.V.+Direct links to referenced documentsEvonik</v>
      </c>
      <c r="C379" t="s">
        <v>629</v>
      </c>
      <c r="D379" t="s">
        <v>45</v>
      </c>
      <c r="E379">
        <v>2024</v>
      </c>
      <c r="F379" t="s">
        <v>21</v>
      </c>
      <c r="G379" t="s">
        <v>46</v>
      </c>
      <c r="H379">
        <v>22246843</v>
      </c>
      <c r="J379">
        <v>1</v>
      </c>
      <c r="K379" t="s">
        <v>693</v>
      </c>
    </row>
    <row r="380" spans="1:11">
      <c r="A380" t="s">
        <v>694</v>
      </c>
      <c r="B380" t="str">
        <f t="shared" si="5"/>
        <v>Wikirate International e.V.+Direct links to referenced documentsKNDS Group</v>
      </c>
      <c r="C380" t="s">
        <v>629</v>
      </c>
      <c r="D380" t="s">
        <v>42</v>
      </c>
      <c r="E380">
        <v>2024</v>
      </c>
      <c r="F380" t="s">
        <v>21</v>
      </c>
      <c r="G380" t="s">
        <v>43</v>
      </c>
      <c r="H380">
        <v>22246991</v>
      </c>
      <c r="J380">
        <v>1</v>
      </c>
    </row>
    <row r="381" spans="1:11">
      <c r="A381" t="s">
        <v>695</v>
      </c>
      <c r="B381" t="str">
        <f t="shared" si="5"/>
        <v>Wikirate International e.V.+Direct links to referenced documentsLeonardo</v>
      </c>
      <c r="C381" t="s">
        <v>629</v>
      </c>
      <c r="D381" t="s">
        <v>33</v>
      </c>
      <c r="E381">
        <v>2024</v>
      </c>
      <c r="F381" t="s">
        <v>21</v>
      </c>
      <c r="G381" t="s">
        <v>34</v>
      </c>
      <c r="H381">
        <v>22247169</v>
      </c>
      <c r="I381" t="s">
        <v>35</v>
      </c>
      <c r="J381">
        <v>1</v>
      </c>
      <c r="K381" t="s">
        <v>1570</v>
      </c>
    </row>
    <row r="382" spans="1:11">
      <c r="A382" t="s">
        <v>696</v>
      </c>
      <c r="B382" t="str">
        <f t="shared" si="5"/>
        <v>Wikirate International e.V.+Direct links to referenced documentsGelsenwasser</v>
      </c>
      <c r="C382" t="s">
        <v>629</v>
      </c>
      <c r="D382" t="s">
        <v>29</v>
      </c>
      <c r="E382">
        <v>2024</v>
      </c>
      <c r="F382" t="s">
        <v>21</v>
      </c>
      <c r="G382" t="s">
        <v>30</v>
      </c>
      <c r="H382">
        <v>22247776</v>
      </c>
      <c r="J382">
        <v>1</v>
      </c>
    </row>
    <row r="383" spans="1:11">
      <c r="A383" t="s">
        <v>697</v>
      </c>
      <c r="B383" t="str">
        <f t="shared" si="5"/>
        <v>Wikirate International e.V.+Direct links to referenced documentsWacker Chemie</v>
      </c>
      <c r="C383" t="s">
        <v>629</v>
      </c>
      <c r="D383" t="s">
        <v>24</v>
      </c>
      <c r="E383">
        <v>2024</v>
      </c>
      <c r="F383" t="s">
        <v>21</v>
      </c>
      <c r="G383" t="s">
        <v>25</v>
      </c>
      <c r="H383">
        <v>22249875</v>
      </c>
      <c r="I383" t="s">
        <v>26</v>
      </c>
      <c r="J383">
        <v>1</v>
      </c>
      <c r="K383" t="s">
        <v>698</v>
      </c>
    </row>
    <row r="384" spans="1:11">
      <c r="A384" t="s">
        <v>699</v>
      </c>
      <c r="B384" t="str">
        <f t="shared" si="5"/>
        <v>Wikirate International e.V.+Direct links to referenced documentsTh√ºga Holding</v>
      </c>
      <c r="C384" t="s">
        <v>629</v>
      </c>
      <c r="D384" t="s">
        <v>20</v>
      </c>
      <c r="E384">
        <v>2024</v>
      </c>
      <c r="F384" t="s">
        <v>15</v>
      </c>
      <c r="G384" t="s">
        <v>1531</v>
      </c>
      <c r="H384">
        <v>22250746</v>
      </c>
      <c r="J384">
        <v>1</v>
      </c>
      <c r="K384" t="s">
        <v>1571</v>
      </c>
    </row>
    <row r="385" spans="1:11">
      <c r="A385" t="s">
        <v>700</v>
      </c>
      <c r="B385" t="str">
        <f t="shared" si="5"/>
        <v>Wikirate International e.V.+Archive of referenced documentsBMW AG</v>
      </c>
      <c r="C385" t="s">
        <v>701</v>
      </c>
      <c r="D385" t="s">
        <v>92</v>
      </c>
      <c r="E385">
        <v>2024</v>
      </c>
      <c r="F385" t="s">
        <v>702</v>
      </c>
      <c r="G385" t="s">
        <v>703</v>
      </c>
      <c r="H385">
        <v>21483526</v>
      </c>
      <c r="J385">
        <v>1</v>
      </c>
    </row>
    <row r="386" spans="1:11">
      <c r="A386" t="s">
        <v>704</v>
      </c>
      <c r="B386" t="str">
        <f t="shared" si="5"/>
        <v>Wikirate International e.V.+Archive of referenced documentsAirbus Group</v>
      </c>
      <c r="C386" t="s">
        <v>701</v>
      </c>
      <c r="D386" t="s">
        <v>74</v>
      </c>
      <c r="E386">
        <v>2024</v>
      </c>
      <c r="F386" t="s">
        <v>702</v>
      </c>
      <c r="G386" t="s">
        <v>705</v>
      </c>
      <c r="H386">
        <v>21484436</v>
      </c>
      <c r="J386">
        <v>1</v>
      </c>
    </row>
    <row r="387" spans="1:11">
      <c r="A387" t="s">
        <v>706</v>
      </c>
      <c r="B387" t="str">
        <f t="shared" si="5"/>
        <v>Wikirate International e.V.+Archive of referenced documentsBASF SE</v>
      </c>
      <c r="C387" t="s">
        <v>701</v>
      </c>
      <c r="D387" t="s">
        <v>108</v>
      </c>
      <c r="E387">
        <v>2024</v>
      </c>
      <c r="F387" t="s">
        <v>702</v>
      </c>
      <c r="G387" t="s">
        <v>707</v>
      </c>
      <c r="H387">
        <v>21484950</v>
      </c>
      <c r="J387">
        <v>1</v>
      </c>
      <c r="K387" t="s">
        <v>708</v>
      </c>
    </row>
    <row r="388" spans="1:11">
      <c r="A388" t="s">
        <v>709</v>
      </c>
      <c r="B388" t="str">
        <f t="shared" si="5"/>
        <v>Wikirate International e.V.+Archive of referenced documentsVolkswagen AG</v>
      </c>
      <c r="C388" t="s">
        <v>701</v>
      </c>
      <c r="D388" t="s">
        <v>112</v>
      </c>
      <c r="E388">
        <v>2024</v>
      </c>
      <c r="F388" t="s">
        <v>702</v>
      </c>
      <c r="G388" t="s">
        <v>710</v>
      </c>
      <c r="H388">
        <v>21485320</v>
      </c>
      <c r="I388" t="s">
        <v>711</v>
      </c>
      <c r="J388">
        <v>1</v>
      </c>
    </row>
    <row r="389" spans="1:11">
      <c r="A389" t="s">
        <v>712</v>
      </c>
      <c r="B389" t="str">
        <f t="shared" si="5"/>
        <v>Wikirate International e.V.+Archive of referenced documentsMercedes-Benz AG</v>
      </c>
      <c r="C389" t="s">
        <v>701</v>
      </c>
      <c r="D389" t="s">
        <v>102</v>
      </c>
      <c r="E389">
        <v>2024</v>
      </c>
      <c r="F389" t="s">
        <v>702</v>
      </c>
      <c r="G389" t="s">
        <v>713</v>
      </c>
      <c r="H389">
        <v>21485583</v>
      </c>
      <c r="J389">
        <v>1</v>
      </c>
      <c r="K389" t="s">
        <v>714</v>
      </c>
    </row>
    <row r="390" spans="1:11">
      <c r="A390" t="s">
        <v>715</v>
      </c>
      <c r="B390" t="str">
        <f t="shared" si="5"/>
        <v>Wikirate International e.V.+Archive of referenced documentsE.ON SE</v>
      </c>
      <c r="C390" t="s">
        <v>701</v>
      </c>
      <c r="D390" t="s">
        <v>57</v>
      </c>
      <c r="E390">
        <v>2024</v>
      </c>
      <c r="F390" t="s">
        <v>716</v>
      </c>
      <c r="G390" t="s">
        <v>58</v>
      </c>
      <c r="H390">
        <v>21486524</v>
      </c>
      <c r="J390">
        <v>2</v>
      </c>
      <c r="K390" t="s">
        <v>717</v>
      </c>
    </row>
    <row r="391" spans="1:11">
      <c r="A391" t="s">
        <v>718</v>
      </c>
      <c r="B391" t="str">
        <f t="shared" ref="B391:B454" si="6">C391&amp;D391</f>
        <v>Wikirate International e.V.+Archive of referenced documentsBayer AG</v>
      </c>
      <c r="C391" t="s">
        <v>701</v>
      </c>
      <c r="D391" t="s">
        <v>87</v>
      </c>
      <c r="E391">
        <v>2024</v>
      </c>
      <c r="F391" t="s">
        <v>21</v>
      </c>
      <c r="G391" t="s">
        <v>88</v>
      </c>
      <c r="H391">
        <v>21486688</v>
      </c>
      <c r="J391">
        <v>1</v>
      </c>
      <c r="K391" t="s">
        <v>1572</v>
      </c>
    </row>
    <row r="392" spans="1:11">
      <c r="A392" t="s">
        <v>719</v>
      </c>
      <c r="B392" t="str">
        <f t="shared" si="6"/>
        <v>Wikirate International e.V.+Archive of referenced documentsRWE Group</v>
      </c>
      <c r="C392" t="s">
        <v>701</v>
      </c>
      <c r="D392" t="s">
        <v>14</v>
      </c>
      <c r="E392">
        <v>2024</v>
      </c>
      <c r="F392" t="s">
        <v>702</v>
      </c>
      <c r="G392" t="s">
        <v>720</v>
      </c>
      <c r="H392">
        <v>21487443</v>
      </c>
      <c r="J392">
        <v>1</v>
      </c>
      <c r="K392" t="s">
        <v>721</v>
      </c>
    </row>
    <row r="393" spans="1:11">
      <c r="A393" t="s">
        <v>722</v>
      </c>
      <c r="B393" t="str">
        <f t="shared" si="6"/>
        <v>Wikirate International e.V.+Archive of referenced documentsDaimler Truck AG</v>
      </c>
      <c r="C393" t="s">
        <v>701</v>
      </c>
      <c r="D393" t="s">
        <v>118</v>
      </c>
      <c r="E393">
        <v>2024</v>
      </c>
      <c r="F393" t="s">
        <v>702</v>
      </c>
      <c r="G393" t="s">
        <v>119</v>
      </c>
      <c r="H393">
        <v>21487985</v>
      </c>
      <c r="I393" t="s">
        <v>120</v>
      </c>
      <c r="J393">
        <v>1</v>
      </c>
      <c r="K393" t="s">
        <v>723</v>
      </c>
    </row>
    <row r="394" spans="1:11">
      <c r="A394" t="s">
        <v>724</v>
      </c>
      <c r="B394" t="str">
        <f t="shared" si="6"/>
        <v>Wikirate International e.V.+Archive of referenced documentsJenoptik AG</v>
      </c>
      <c r="C394" t="s">
        <v>701</v>
      </c>
      <c r="D394" t="s">
        <v>123</v>
      </c>
      <c r="E394">
        <v>2024</v>
      </c>
      <c r="F394" t="s">
        <v>702</v>
      </c>
      <c r="G394" t="s">
        <v>261</v>
      </c>
      <c r="H394">
        <v>21488126</v>
      </c>
      <c r="J394">
        <v>1</v>
      </c>
      <c r="K394" t="s">
        <v>725</v>
      </c>
    </row>
    <row r="395" spans="1:11">
      <c r="A395" t="s">
        <v>726</v>
      </c>
      <c r="B395" t="str">
        <f t="shared" si="6"/>
        <v>Wikirate International e.V.+Archive of referenced documentsContinental AG</v>
      </c>
      <c r="C395" t="s">
        <v>701</v>
      </c>
      <c r="D395" t="s">
        <v>126</v>
      </c>
      <c r="E395">
        <v>2024</v>
      </c>
      <c r="F395" t="s">
        <v>702</v>
      </c>
      <c r="G395" t="s">
        <v>727</v>
      </c>
      <c r="H395">
        <v>22205716</v>
      </c>
      <c r="J395">
        <v>1</v>
      </c>
      <c r="K395" t="s">
        <v>728</v>
      </c>
    </row>
    <row r="396" spans="1:11">
      <c r="A396" t="s">
        <v>729</v>
      </c>
      <c r="B396" t="str">
        <f t="shared" si="6"/>
        <v>Wikirate International e.V.+Archive of referenced documentsThyssenKrupp Group</v>
      </c>
      <c r="C396" t="s">
        <v>701</v>
      </c>
      <c r="D396" t="s">
        <v>129</v>
      </c>
      <c r="E396">
        <v>2024</v>
      </c>
      <c r="F396" t="s">
        <v>702</v>
      </c>
      <c r="G396" t="s">
        <v>730</v>
      </c>
      <c r="H396">
        <v>22206212</v>
      </c>
      <c r="J396">
        <v>1</v>
      </c>
    </row>
    <row r="397" spans="1:11">
      <c r="A397" t="s">
        <v>731</v>
      </c>
      <c r="B397" t="str">
        <f t="shared" si="6"/>
        <v>Wikirate International e.V.+Archive of referenced documentsHelm AG</v>
      </c>
      <c r="C397" t="s">
        <v>701</v>
      </c>
      <c r="D397" t="s">
        <v>132</v>
      </c>
      <c r="E397">
        <v>2024</v>
      </c>
      <c r="F397" t="s">
        <v>21</v>
      </c>
      <c r="G397" t="s">
        <v>133</v>
      </c>
      <c r="H397">
        <v>22206410</v>
      </c>
      <c r="J397">
        <v>1</v>
      </c>
    </row>
    <row r="398" spans="1:11">
      <c r="A398" t="s">
        <v>732</v>
      </c>
      <c r="B398" t="str">
        <f t="shared" si="6"/>
        <v>Wikirate International e.V.+Archive of referenced documentsGEA Group</v>
      </c>
      <c r="C398" t="s">
        <v>701</v>
      </c>
      <c r="D398" t="s">
        <v>135</v>
      </c>
      <c r="E398">
        <v>2024</v>
      </c>
      <c r="F398" t="s">
        <v>702</v>
      </c>
      <c r="G398" t="s">
        <v>733</v>
      </c>
      <c r="H398">
        <v>22207000</v>
      </c>
      <c r="J398">
        <v>1</v>
      </c>
      <c r="K398" t="s">
        <v>734</v>
      </c>
    </row>
    <row r="399" spans="1:11">
      <c r="A399" t="s">
        <v>735</v>
      </c>
      <c r="B399" t="str">
        <f t="shared" si="6"/>
        <v>Wikirate International e.V.+Archive of referenced documentsRobert Bosch GmbH</v>
      </c>
      <c r="C399" t="s">
        <v>701</v>
      </c>
      <c r="D399" t="s">
        <v>138</v>
      </c>
      <c r="E399">
        <v>2024</v>
      </c>
      <c r="F399" t="s">
        <v>702</v>
      </c>
      <c r="G399" t="s">
        <v>139</v>
      </c>
      <c r="H399">
        <v>22208559</v>
      </c>
      <c r="J399">
        <v>1</v>
      </c>
      <c r="K399" t="s">
        <v>736</v>
      </c>
    </row>
    <row r="400" spans="1:11">
      <c r="A400" t="s">
        <v>737</v>
      </c>
      <c r="B400" t="str">
        <f t="shared" si="6"/>
        <v>Wikirate International e.V.+Archive of referenced documentsMahle GmbH</v>
      </c>
      <c r="C400" t="s">
        <v>701</v>
      </c>
      <c r="D400" t="s">
        <v>142</v>
      </c>
      <c r="E400">
        <v>2024</v>
      </c>
      <c r="F400" t="s">
        <v>702</v>
      </c>
      <c r="G400" t="s">
        <v>738</v>
      </c>
      <c r="H400">
        <v>22208683</v>
      </c>
      <c r="J400">
        <v>1</v>
      </c>
      <c r="K400" t="s">
        <v>739</v>
      </c>
    </row>
    <row r="401" spans="1:11">
      <c r="A401" t="s">
        <v>740</v>
      </c>
      <c r="B401" t="str">
        <f t="shared" si="6"/>
        <v>Wikirate International e.V.+Archive of referenced documentsVoith</v>
      </c>
      <c r="C401" t="s">
        <v>701</v>
      </c>
      <c r="D401" t="s">
        <v>145</v>
      </c>
      <c r="E401">
        <v>2024</v>
      </c>
      <c r="F401" t="s">
        <v>702</v>
      </c>
      <c r="G401" t="s">
        <v>741</v>
      </c>
      <c r="H401">
        <v>22208968</v>
      </c>
      <c r="J401">
        <v>1</v>
      </c>
    </row>
    <row r="402" spans="1:11">
      <c r="A402" t="s">
        <v>742</v>
      </c>
      <c r="B402" t="str">
        <f t="shared" si="6"/>
        <v>Wikirate International e.V.+Archive of referenced documentsSiemens AG</v>
      </c>
      <c r="C402" t="s">
        <v>701</v>
      </c>
      <c r="D402" t="s">
        <v>148</v>
      </c>
      <c r="E402">
        <v>2024</v>
      </c>
      <c r="F402" t="s">
        <v>702</v>
      </c>
      <c r="G402" t="s">
        <v>743</v>
      </c>
      <c r="H402">
        <v>22209131</v>
      </c>
      <c r="J402">
        <v>1</v>
      </c>
    </row>
    <row r="403" spans="1:11">
      <c r="A403" t="s">
        <v>744</v>
      </c>
      <c r="B403" t="str">
        <f t="shared" si="6"/>
        <v>Wikirate International e.V.+Archive of referenced documentsZF Friedrichshafen</v>
      </c>
      <c r="C403" t="s">
        <v>701</v>
      </c>
      <c r="D403" t="s">
        <v>152</v>
      </c>
      <c r="E403">
        <v>2024</v>
      </c>
      <c r="F403" t="s">
        <v>21</v>
      </c>
      <c r="G403" t="s">
        <v>283</v>
      </c>
      <c r="H403">
        <v>22209240</v>
      </c>
      <c r="J403">
        <v>1</v>
      </c>
    </row>
    <row r="404" spans="1:11">
      <c r="A404" t="s">
        <v>745</v>
      </c>
      <c r="B404" t="str">
        <f t="shared" si="6"/>
        <v>Wikirate International e.V.+Archive of referenced documentsJungheinrich AG</v>
      </c>
      <c r="C404" t="s">
        <v>701</v>
      </c>
      <c r="D404" t="s">
        <v>155</v>
      </c>
      <c r="E404">
        <v>2024</v>
      </c>
      <c r="F404" t="s">
        <v>21</v>
      </c>
      <c r="G404" t="s">
        <v>1573</v>
      </c>
      <c r="H404">
        <v>22209360</v>
      </c>
      <c r="J404">
        <v>2</v>
      </c>
      <c r="K404" t="s">
        <v>1574</v>
      </c>
    </row>
    <row r="405" spans="1:11">
      <c r="A405" t="s">
        <v>746</v>
      </c>
      <c r="B405" t="str">
        <f t="shared" si="6"/>
        <v>Wikirate International e.V.+Archive of referenced documentsSchaeffler Technologies</v>
      </c>
      <c r="C405" t="s">
        <v>701</v>
      </c>
      <c r="D405" t="s">
        <v>1618</v>
      </c>
      <c r="E405">
        <v>2024</v>
      </c>
      <c r="F405" t="s">
        <v>702</v>
      </c>
      <c r="G405" t="s">
        <v>159</v>
      </c>
      <c r="H405">
        <v>22209444</v>
      </c>
      <c r="J405">
        <v>1</v>
      </c>
      <c r="K405" t="s">
        <v>747</v>
      </c>
    </row>
    <row r="406" spans="1:11">
      <c r="A406" t="s">
        <v>748</v>
      </c>
      <c r="B406" t="str">
        <f t="shared" si="6"/>
        <v>Wikirate International e.V.+Archive of referenced documentsCovestro</v>
      </c>
      <c r="C406" t="s">
        <v>701</v>
      </c>
      <c r="D406" t="s">
        <v>164</v>
      </c>
      <c r="E406">
        <v>2024</v>
      </c>
      <c r="F406" t="s">
        <v>702</v>
      </c>
      <c r="G406" t="s">
        <v>749</v>
      </c>
      <c r="H406">
        <v>22211034</v>
      </c>
      <c r="J406">
        <v>1</v>
      </c>
    </row>
    <row r="407" spans="1:11">
      <c r="A407" t="s">
        <v>750</v>
      </c>
      <c r="B407" t="str">
        <f t="shared" si="6"/>
        <v>Wikirate International e.V.+Archive of referenced documentsKrones AG</v>
      </c>
      <c r="C407" t="s">
        <v>701</v>
      </c>
      <c r="D407" t="s">
        <v>168</v>
      </c>
      <c r="E407">
        <v>2024</v>
      </c>
      <c r="F407" t="s">
        <v>702</v>
      </c>
      <c r="G407" t="s">
        <v>751</v>
      </c>
      <c r="H407">
        <v>22211547</v>
      </c>
      <c r="J407">
        <v>1</v>
      </c>
      <c r="K407" t="s">
        <v>752</v>
      </c>
    </row>
    <row r="408" spans="1:11">
      <c r="A408" t="s">
        <v>753</v>
      </c>
      <c r="B408" t="str">
        <f t="shared" si="6"/>
        <v>Wikirate International e.V.+Archive of referenced documentsHenkel AG &amp; Co. KGaA</v>
      </c>
      <c r="C408" t="s">
        <v>701</v>
      </c>
      <c r="D408" t="s">
        <v>172</v>
      </c>
      <c r="E408">
        <v>2024</v>
      </c>
      <c r="F408" t="s">
        <v>702</v>
      </c>
      <c r="G408" t="s">
        <v>754</v>
      </c>
      <c r="H408">
        <v>22211685</v>
      </c>
      <c r="I408" t="s">
        <v>755</v>
      </c>
      <c r="J408">
        <v>1</v>
      </c>
      <c r="K408" t="s">
        <v>756</v>
      </c>
    </row>
    <row r="409" spans="1:11">
      <c r="A409" t="s">
        <v>757</v>
      </c>
      <c r="B409" t="str">
        <f t="shared" si="6"/>
        <v>Wikirate International e.V.+Archive of referenced documentsEnBW-Energie Baden-Wuerttemberg</v>
      </c>
      <c r="C409" t="s">
        <v>701</v>
      </c>
      <c r="D409" t="s">
        <v>177</v>
      </c>
      <c r="E409">
        <v>2024</v>
      </c>
      <c r="F409" t="s">
        <v>702</v>
      </c>
      <c r="G409" t="s">
        <v>758</v>
      </c>
      <c r="H409">
        <v>22218165</v>
      </c>
      <c r="I409" t="s">
        <v>759</v>
      </c>
      <c r="J409">
        <v>1</v>
      </c>
      <c r="K409" t="s">
        <v>760</v>
      </c>
    </row>
    <row r="410" spans="1:11">
      <c r="A410" t="s">
        <v>761</v>
      </c>
      <c r="B410" t="str">
        <f t="shared" si="6"/>
        <v>Wikirate International e.V.+Archive of referenced documentsD√ºrr Group</v>
      </c>
      <c r="C410" t="s">
        <v>701</v>
      </c>
      <c r="D410" t="s">
        <v>191</v>
      </c>
      <c r="E410">
        <v>2024</v>
      </c>
      <c r="F410" t="s">
        <v>702</v>
      </c>
      <c r="G410" t="s">
        <v>192</v>
      </c>
      <c r="H410">
        <v>22218669</v>
      </c>
      <c r="J410">
        <v>1</v>
      </c>
    </row>
    <row r="411" spans="1:11">
      <c r="A411" t="s">
        <v>762</v>
      </c>
      <c r="B411" t="str">
        <f t="shared" si="6"/>
        <v>Wikirate International e.V.+Archive of referenced documentsLanxess</v>
      </c>
      <c r="C411" t="s">
        <v>701</v>
      </c>
      <c r="D411" t="s">
        <v>194</v>
      </c>
      <c r="E411">
        <v>2024</v>
      </c>
      <c r="F411" t="s">
        <v>702</v>
      </c>
      <c r="G411" t="s">
        <v>763</v>
      </c>
      <c r="H411">
        <v>22218776</v>
      </c>
      <c r="J411">
        <v>1</v>
      </c>
    </row>
    <row r="412" spans="1:11">
      <c r="A412" t="s">
        <v>764</v>
      </c>
      <c r="B412" t="str">
        <f t="shared" si="6"/>
        <v>Wikirate International e.V.+Archive of referenced documentsHELLA GMBH &amp; CO. KGAA</v>
      </c>
      <c r="C412" t="s">
        <v>701</v>
      </c>
      <c r="D412" t="s">
        <v>187</v>
      </c>
      <c r="E412">
        <v>2024</v>
      </c>
      <c r="F412" t="s">
        <v>702</v>
      </c>
      <c r="G412" t="s">
        <v>765</v>
      </c>
      <c r="H412">
        <v>22218814</v>
      </c>
      <c r="I412" t="s">
        <v>766</v>
      </c>
      <c r="J412">
        <v>1</v>
      </c>
      <c r="K412" t="s">
        <v>767</v>
      </c>
    </row>
    <row r="413" spans="1:11">
      <c r="A413" t="s">
        <v>768</v>
      </c>
      <c r="B413" t="str">
        <f t="shared" si="6"/>
        <v>Wikirate International e.V.+Archive of referenced documentsDeere &amp; Co</v>
      </c>
      <c r="C413" t="s">
        <v>701</v>
      </c>
      <c r="D413" t="s">
        <v>197</v>
      </c>
      <c r="E413">
        <v>2024</v>
      </c>
      <c r="F413" t="s">
        <v>702</v>
      </c>
      <c r="G413" t="s">
        <v>769</v>
      </c>
      <c r="H413">
        <v>22218914</v>
      </c>
      <c r="J413">
        <v>1</v>
      </c>
      <c r="K413" t="s">
        <v>770</v>
      </c>
    </row>
    <row r="414" spans="1:11">
      <c r="A414" t="s">
        <v>771</v>
      </c>
      <c r="B414" t="str">
        <f t="shared" si="6"/>
        <v>Wikirate International e.V.+Archive of referenced documentsAmprion GmbH</v>
      </c>
      <c r="C414" t="s">
        <v>701</v>
      </c>
      <c r="D414" t="s">
        <v>182</v>
      </c>
      <c r="E414">
        <v>2024</v>
      </c>
      <c r="F414" t="s">
        <v>21</v>
      </c>
      <c r="G414" t="s">
        <v>183</v>
      </c>
      <c r="H414">
        <v>22218992</v>
      </c>
      <c r="I414" t="s">
        <v>184</v>
      </c>
      <c r="J414">
        <v>1</v>
      </c>
      <c r="K414" t="s">
        <v>772</v>
      </c>
    </row>
    <row r="415" spans="1:11">
      <c r="A415" t="s">
        <v>773</v>
      </c>
      <c r="B415" t="str">
        <f t="shared" si="6"/>
        <v>Wikirate International e.V.+Archive of referenced documentsBoehringer Ingelheim GmbH</v>
      </c>
      <c r="C415" t="s">
        <v>701</v>
      </c>
      <c r="D415" t="s">
        <v>201</v>
      </c>
      <c r="E415">
        <v>2024</v>
      </c>
      <c r="F415" t="s">
        <v>702</v>
      </c>
      <c r="G415" t="s">
        <v>774</v>
      </c>
      <c r="H415">
        <v>22219115</v>
      </c>
      <c r="J415">
        <v>1</v>
      </c>
      <c r="K415" t="s">
        <v>775</v>
      </c>
    </row>
    <row r="416" spans="1:11">
      <c r="A416" t="s">
        <v>776</v>
      </c>
      <c r="B416" t="str">
        <f t="shared" si="6"/>
        <v>Wikirate International e.V.+Archive of referenced documentsHensoldt AG</v>
      </c>
      <c r="C416" t="s">
        <v>701</v>
      </c>
      <c r="D416" t="s">
        <v>208</v>
      </c>
      <c r="E416">
        <v>2024</v>
      </c>
      <c r="F416" t="s">
        <v>702</v>
      </c>
      <c r="G416" t="s">
        <v>777</v>
      </c>
      <c r="H416">
        <v>22219253</v>
      </c>
      <c r="J416">
        <v>1</v>
      </c>
    </row>
    <row r="417" spans="1:11">
      <c r="A417" t="s">
        <v>778</v>
      </c>
      <c r="B417" t="str">
        <f t="shared" si="6"/>
        <v>Wikirate International e.V.+Archive of referenced documentsRheinmetall AG</v>
      </c>
      <c r="C417" t="s">
        <v>701</v>
      </c>
      <c r="D417" t="s">
        <v>79</v>
      </c>
      <c r="E417">
        <v>2024</v>
      </c>
      <c r="F417" t="s">
        <v>21</v>
      </c>
      <c r="G417" t="s">
        <v>779</v>
      </c>
      <c r="H417">
        <v>22219616</v>
      </c>
      <c r="J417">
        <v>1</v>
      </c>
    </row>
    <row r="418" spans="1:11">
      <c r="A418" t="s">
        <v>780</v>
      </c>
      <c r="B418" t="str">
        <f t="shared" si="6"/>
        <v>Wikirate International e.V.+Archive of referenced documentsUniper SE</v>
      </c>
      <c r="C418" t="s">
        <v>701</v>
      </c>
      <c r="D418" t="s">
        <v>83</v>
      </c>
      <c r="E418">
        <v>2024</v>
      </c>
      <c r="F418" t="s">
        <v>702</v>
      </c>
      <c r="G418" t="s">
        <v>216</v>
      </c>
      <c r="H418">
        <v>22219711</v>
      </c>
      <c r="J418">
        <v>1</v>
      </c>
      <c r="K418" t="s">
        <v>781</v>
      </c>
    </row>
    <row r="419" spans="1:11">
      <c r="A419" t="s">
        <v>782</v>
      </c>
      <c r="B419" t="str">
        <f t="shared" si="6"/>
        <v>Wikirate International e.V.+Archive of referenced documentsSiemens Energy AG</v>
      </c>
      <c r="C419" t="s">
        <v>701</v>
      </c>
      <c r="D419" t="s">
        <v>71</v>
      </c>
      <c r="E419">
        <v>2024</v>
      </c>
      <c r="F419" t="s">
        <v>702</v>
      </c>
      <c r="G419" t="s">
        <v>783</v>
      </c>
      <c r="H419">
        <v>22246004</v>
      </c>
      <c r="J419">
        <v>1</v>
      </c>
    </row>
    <row r="420" spans="1:11">
      <c r="A420" t="s">
        <v>784</v>
      </c>
      <c r="B420" t="str">
        <f t="shared" si="6"/>
        <v>Wikirate International e.V.+Archive of referenced documents50Hertz Transmission</v>
      </c>
      <c r="C420" t="s">
        <v>701</v>
      </c>
      <c r="D420" t="s">
        <v>68</v>
      </c>
      <c r="E420">
        <v>2024</v>
      </c>
      <c r="F420" t="s">
        <v>702</v>
      </c>
      <c r="G420" t="s">
        <v>1575</v>
      </c>
      <c r="H420">
        <v>22246097</v>
      </c>
      <c r="J420">
        <v>1</v>
      </c>
      <c r="K420" t="s">
        <v>1576</v>
      </c>
    </row>
    <row r="421" spans="1:11">
      <c r="A421" t="s">
        <v>785</v>
      </c>
      <c r="B421" t="str">
        <f t="shared" si="6"/>
        <v>Wikirate International e.V.+Archive of referenced documentsKION Group</v>
      </c>
      <c r="C421" t="s">
        <v>701</v>
      </c>
      <c r="D421" t="s">
        <v>65</v>
      </c>
      <c r="E421">
        <v>2024</v>
      </c>
      <c r="F421" t="s">
        <v>21</v>
      </c>
      <c r="G421" t="s">
        <v>786</v>
      </c>
      <c r="H421">
        <v>22246231</v>
      </c>
      <c r="J421">
        <v>2</v>
      </c>
      <c r="K421" t="s">
        <v>1577</v>
      </c>
    </row>
    <row r="422" spans="1:11">
      <c r="A422" t="s">
        <v>787</v>
      </c>
      <c r="B422" t="str">
        <f t="shared" si="6"/>
        <v>Wikirate International e.V.+Archive of referenced documentsStadtwerke Munchen GmbH</v>
      </c>
      <c r="C422" t="s">
        <v>701</v>
      </c>
      <c r="D422" t="s">
        <v>61</v>
      </c>
      <c r="E422">
        <v>2024</v>
      </c>
      <c r="F422" t="s">
        <v>702</v>
      </c>
      <c r="G422" t="s">
        <v>788</v>
      </c>
      <c r="H422">
        <v>22246365</v>
      </c>
      <c r="J422">
        <v>1</v>
      </c>
      <c r="K422" t="s">
        <v>789</v>
      </c>
    </row>
    <row r="423" spans="1:11">
      <c r="A423" t="s">
        <v>790</v>
      </c>
      <c r="B423" t="str">
        <f t="shared" si="6"/>
        <v>Wikirate International e.V.+Archive of referenced documentsLockheed Martin</v>
      </c>
      <c r="C423" t="s">
        <v>701</v>
      </c>
      <c r="D423" t="s">
        <v>38</v>
      </c>
      <c r="E423">
        <v>2024</v>
      </c>
      <c r="F423" t="s">
        <v>716</v>
      </c>
      <c r="G423" t="s">
        <v>1578</v>
      </c>
      <c r="H423">
        <v>22246519</v>
      </c>
      <c r="J423">
        <v>1</v>
      </c>
      <c r="K423" t="s">
        <v>1579</v>
      </c>
    </row>
    <row r="424" spans="1:11">
      <c r="A424" t="s">
        <v>791</v>
      </c>
      <c r="B424" t="str">
        <f t="shared" si="6"/>
        <v>Wikirate International e.V.+Archive of referenced documentsDiehl Stiftung &amp; Co. KG</v>
      </c>
      <c r="C424" t="s">
        <v>701</v>
      </c>
      <c r="D424" t="s">
        <v>53</v>
      </c>
      <c r="E424">
        <v>2024</v>
      </c>
      <c r="F424" t="s">
        <v>21</v>
      </c>
      <c r="G424" t="s">
        <v>792</v>
      </c>
      <c r="H424">
        <v>22246613</v>
      </c>
      <c r="J424">
        <v>1</v>
      </c>
      <c r="K424" t="s">
        <v>793</v>
      </c>
    </row>
    <row r="425" spans="1:11">
      <c r="A425" t="s">
        <v>794</v>
      </c>
      <c r="B425" t="str">
        <f t="shared" si="6"/>
        <v>Wikirate International e.V.+Archive of referenced documentsMerck KGaA</v>
      </c>
      <c r="C425" t="s">
        <v>701</v>
      </c>
      <c r="D425" t="s">
        <v>49</v>
      </c>
      <c r="E425">
        <v>2024</v>
      </c>
      <c r="F425" t="s">
        <v>702</v>
      </c>
      <c r="G425" t="s">
        <v>795</v>
      </c>
      <c r="H425">
        <v>22246749</v>
      </c>
      <c r="J425">
        <v>1</v>
      </c>
      <c r="K425" t="s">
        <v>796</v>
      </c>
    </row>
    <row r="426" spans="1:11">
      <c r="A426" t="s">
        <v>797</v>
      </c>
      <c r="B426" t="str">
        <f t="shared" si="6"/>
        <v>Wikirate International e.V.+Archive of referenced documentsEvonik</v>
      </c>
      <c r="C426" t="s">
        <v>701</v>
      </c>
      <c r="D426" t="s">
        <v>45</v>
      </c>
      <c r="E426">
        <v>2024</v>
      </c>
      <c r="F426" t="s">
        <v>702</v>
      </c>
      <c r="G426" t="s">
        <v>798</v>
      </c>
      <c r="H426">
        <v>22246865</v>
      </c>
      <c r="J426">
        <v>2</v>
      </c>
      <c r="K426" t="s">
        <v>799</v>
      </c>
    </row>
    <row r="427" spans="1:11">
      <c r="A427" t="s">
        <v>800</v>
      </c>
      <c r="B427" t="str">
        <f t="shared" si="6"/>
        <v>Wikirate International e.V.+Archive of referenced documentsKNDS Group</v>
      </c>
      <c r="C427" t="s">
        <v>701</v>
      </c>
      <c r="D427" t="s">
        <v>42</v>
      </c>
      <c r="E427">
        <v>2024</v>
      </c>
      <c r="F427" t="s">
        <v>21</v>
      </c>
      <c r="G427" t="s">
        <v>801</v>
      </c>
      <c r="H427">
        <v>22247000</v>
      </c>
      <c r="J427">
        <v>1</v>
      </c>
    </row>
    <row r="428" spans="1:11">
      <c r="A428" t="s">
        <v>802</v>
      </c>
      <c r="B428" t="str">
        <f t="shared" si="6"/>
        <v>Wikirate International e.V.+Archive of referenced documentsLeonardo</v>
      </c>
      <c r="C428" t="s">
        <v>701</v>
      </c>
      <c r="D428" t="s">
        <v>33</v>
      </c>
      <c r="E428">
        <v>2024</v>
      </c>
      <c r="F428" t="s">
        <v>21</v>
      </c>
      <c r="G428" t="s">
        <v>803</v>
      </c>
      <c r="H428">
        <v>22247175</v>
      </c>
      <c r="J428">
        <v>1</v>
      </c>
      <c r="K428" t="s">
        <v>804</v>
      </c>
    </row>
    <row r="429" spans="1:11">
      <c r="A429" t="s">
        <v>805</v>
      </c>
      <c r="B429" t="str">
        <f t="shared" si="6"/>
        <v>Wikirate International e.V.+Archive of referenced documentsGelsenwasser</v>
      </c>
      <c r="C429" t="s">
        <v>701</v>
      </c>
      <c r="D429" t="s">
        <v>29</v>
      </c>
      <c r="E429">
        <v>2024</v>
      </c>
      <c r="F429" t="s">
        <v>21</v>
      </c>
      <c r="G429" t="s">
        <v>806</v>
      </c>
      <c r="H429">
        <v>22247781</v>
      </c>
      <c r="J429">
        <v>1</v>
      </c>
      <c r="K429" t="s">
        <v>807</v>
      </c>
    </row>
    <row r="430" spans="1:11">
      <c r="A430" t="s">
        <v>808</v>
      </c>
      <c r="B430" t="str">
        <f t="shared" si="6"/>
        <v>Wikirate International e.V.+Archive of referenced documentsWacker Chemie</v>
      </c>
      <c r="C430" t="s">
        <v>701</v>
      </c>
      <c r="D430" t="s">
        <v>24</v>
      </c>
      <c r="E430">
        <v>2024</v>
      </c>
      <c r="F430" t="s">
        <v>702</v>
      </c>
      <c r="G430" t="s">
        <v>238</v>
      </c>
      <c r="H430">
        <v>22249881</v>
      </c>
      <c r="J430">
        <v>2</v>
      </c>
      <c r="K430" t="s">
        <v>809</v>
      </c>
    </row>
    <row r="431" spans="1:11">
      <c r="A431" t="s">
        <v>810</v>
      </c>
      <c r="B431" t="str">
        <f t="shared" si="6"/>
        <v>Wikirate International e.V.+Archive of referenced documentsTh√ºga Holding</v>
      </c>
      <c r="C431" t="s">
        <v>701</v>
      </c>
      <c r="D431" t="s">
        <v>20</v>
      </c>
      <c r="E431">
        <v>2024</v>
      </c>
      <c r="F431" t="s">
        <v>702</v>
      </c>
      <c r="G431" t="s">
        <v>811</v>
      </c>
      <c r="H431">
        <v>22250758</v>
      </c>
      <c r="J431">
        <v>1</v>
      </c>
      <c r="K431" t="s">
        <v>812</v>
      </c>
    </row>
    <row r="432" spans="1:11">
      <c r="A432" t="s">
        <v>813</v>
      </c>
      <c r="B432" t="str">
        <f t="shared" si="6"/>
        <v>Wikirate International e.V.+Level of assuranceBMW AG</v>
      </c>
      <c r="C432" t="s">
        <v>814</v>
      </c>
      <c r="D432" t="s">
        <v>92</v>
      </c>
      <c r="E432">
        <v>2024</v>
      </c>
      <c r="F432" t="s">
        <v>815</v>
      </c>
      <c r="G432" t="s">
        <v>329</v>
      </c>
      <c r="H432">
        <v>21483534</v>
      </c>
      <c r="I432" t="s">
        <v>330</v>
      </c>
      <c r="J432">
        <v>1</v>
      </c>
      <c r="K432" t="s">
        <v>816</v>
      </c>
    </row>
    <row r="433" spans="1:11">
      <c r="A433" t="s">
        <v>817</v>
      </c>
      <c r="B433" t="str">
        <f t="shared" si="6"/>
        <v>Wikirate International e.V.+Level of assuranceAirbus Group</v>
      </c>
      <c r="C433" t="s">
        <v>814</v>
      </c>
      <c r="D433" t="s">
        <v>74</v>
      </c>
      <c r="E433">
        <v>2024</v>
      </c>
      <c r="F433" t="s">
        <v>818</v>
      </c>
      <c r="G433" t="s">
        <v>75</v>
      </c>
      <c r="H433">
        <v>21484469</v>
      </c>
      <c r="I433" t="s">
        <v>76</v>
      </c>
      <c r="J433">
        <v>1</v>
      </c>
      <c r="K433" t="s">
        <v>819</v>
      </c>
    </row>
    <row r="434" spans="1:11">
      <c r="A434" t="s">
        <v>820</v>
      </c>
      <c r="B434" t="str">
        <f t="shared" si="6"/>
        <v>Wikirate International e.V.+Level of assuranceBASF SE</v>
      </c>
      <c r="C434" t="s">
        <v>814</v>
      </c>
      <c r="D434" t="s">
        <v>108</v>
      </c>
      <c r="E434">
        <v>2024</v>
      </c>
      <c r="F434" t="s">
        <v>815</v>
      </c>
      <c r="G434" t="s">
        <v>339</v>
      </c>
      <c r="H434">
        <v>21484965</v>
      </c>
      <c r="I434" t="s">
        <v>340</v>
      </c>
      <c r="J434">
        <v>1</v>
      </c>
      <c r="K434" t="s">
        <v>821</v>
      </c>
    </row>
    <row r="435" spans="1:11">
      <c r="A435" t="s">
        <v>822</v>
      </c>
      <c r="B435" t="str">
        <f t="shared" si="6"/>
        <v>Wikirate International e.V.+Level of assuranceVolkswagen AG</v>
      </c>
      <c r="C435" t="s">
        <v>814</v>
      </c>
      <c r="D435" t="s">
        <v>112</v>
      </c>
      <c r="E435">
        <v>2024</v>
      </c>
      <c r="F435" t="s">
        <v>847</v>
      </c>
      <c r="G435" t="s">
        <v>342</v>
      </c>
      <c r="H435">
        <v>21485329</v>
      </c>
      <c r="I435" t="s">
        <v>343</v>
      </c>
      <c r="J435">
        <v>1</v>
      </c>
      <c r="K435" t="s">
        <v>823</v>
      </c>
    </row>
    <row r="436" spans="1:11">
      <c r="A436" t="s">
        <v>824</v>
      </c>
      <c r="B436" t="str">
        <f t="shared" si="6"/>
        <v>Wikirate International e.V.+Level of assuranceMercedes-Benz AG</v>
      </c>
      <c r="C436" t="s">
        <v>814</v>
      </c>
      <c r="D436" t="s">
        <v>102</v>
      </c>
      <c r="E436">
        <v>2024</v>
      </c>
      <c r="F436" t="s">
        <v>815</v>
      </c>
      <c r="G436" t="s">
        <v>249</v>
      </c>
      <c r="H436">
        <v>21485591</v>
      </c>
      <c r="I436" t="s">
        <v>250</v>
      </c>
      <c r="J436">
        <v>1</v>
      </c>
      <c r="K436" t="s">
        <v>825</v>
      </c>
    </row>
    <row r="437" spans="1:11">
      <c r="A437" t="s">
        <v>826</v>
      </c>
      <c r="B437" t="str">
        <f t="shared" si="6"/>
        <v>Wikirate International e.V.+Level of assuranceE.ON SE</v>
      </c>
      <c r="C437" t="s">
        <v>814</v>
      </c>
      <c r="D437" t="s">
        <v>57</v>
      </c>
      <c r="E437">
        <v>2024</v>
      </c>
      <c r="F437" t="s">
        <v>815</v>
      </c>
      <c r="G437" t="s">
        <v>58</v>
      </c>
      <c r="H437">
        <v>21486540</v>
      </c>
      <c r="J437">
        <v>1</v>
      </c>
      <c r="K437" t="s">
        <v>827</v>
      </c>
    </row>
    <row r="438" spans="1:11">
      <c r="A438" t="s">
        <v>828</v>
      </c>
      <c r="B438" t="str">
        <f t="shared" si="6"/>
        <v>Wikirate International e.V.+Level of assuranceBayer AG</v>
      </c>
      <c r="C438" t="s">
        <v>814</v>
      </c>
      <c r="D438" t="s">
        <v>87</v>
      </c>
      <c r="E438">
        <v>2024</v>
      </c>
      <c r="F438" t="s">
        <v>815</v>
      </c>
      <c r="G438" t="s">
        <v>88</v>
      </c>
      <c r="H438">
        <v>21486715</v>
      </c>
      <c r="J438">
        <v>1</v>
      </c>
      <c r="K438" t="s">
        <v>1580</v>
      </c>
    </row>
    <row r="439" spans="1:11">
      <c r="A439" t="s">
        <v>829</v>
      </c>
      <c r="B439" t="str">
        <f t="shared" si="6"/>
        <v>Wikirate International e.V.+Level of assuranceRWE Group</v>
      </c>
      <c r="C439" t="s">
        <v>814</v>
      </c>
      <c r="D439" t="s">
        <v>14</v>
      </c>
      <c r="E439">
        <v>2024</v>
      </c>
      <c r="F439" t="s">
        <v>815</v>
      </c>
      <c r="G439" t="s">
        <v>16</v>
      </c>
      <c r="H439">
        <v>21487460</v>
      </c>
      <c r="I439" t="s">
        <v>17</v>
      </c>
      <c r="J439">
        <v>1</v>
      </c>
      <c r="K439" t="s">
        <v>830</v>
      </c>
    </row>
    <row r="440" spans="1:11">
      <c r="A440" t="s">
        <v>831</v>
      </c>
      <c r="B440" t="str">
        <f t="shared" si="6"/>
        <v>Wikirate International e.V.+Level of assuranceDaimler Truck AG</v>
      </c>
      <c r="C440" t="s">
        <v>814</v>
      </c>
      <c r="D440" t="s">
        <v>118</v>
      </c>
      <c r="E440">
        <v>2024</v>
      </c>
      <c r="F440" t="s">
        <v>815</v>
      </c>
      <c r="G440" t="s">
        <v>119</v>
      </c>
      <c r="H440">
        <v>21487997</v>
      </c>
      <c r="I440" t="s">
        <v>120</v>
      </c>
      <c r="J440">
        <v>1</v>
      </c>
      <c r="K440" t="s">
        <v>832</v>
      </c>
    </row>
    <row r="441" spans="1:11">
      <c r="A441" t="s">
        <v>833</v>
      </c>
      <c r="B441" t="str">
        <f t="shared" si="6"/>
        <v>Wikirate International e.V.+Level of assuranceJenoptik AG</v>
      </c>
      <c r="C441" t="s">
        <v>814</v>
      </c>
      <c r="D441" t="s">
        <v>123</v>
      </c>
      <c r="E441">
        <v>2024</v>
      </c>
      <c r="F441" t="s">
        <v>815</v>
      </c>
      <c r="G441" t="s">
        <v>261</v>
      </c>
      <c r="H441">
        <v>21488134</v>
      </c>
      <c r="J441">
        <v>1</v>
      </c>
      <c r="K441" t="s">
        <v>834</v>
      </c>
    </row>
    <row r="442" spans="1:11">
      <c r="A442" t="s">
        <v>835</v>
      </c>
      <c r="B442" t="str">
        <f t="shared" si="6"/>
        <v>Wikirate International e.V.+Level of assuranceContinental AG</v>
      </c>
      <c r="C442" t="s">
        <v>814</v>
      </c>
      <c r="D442" t="s">
        <v>126</v>
      </c>
      <c r="E442">
        <v>2024</v>
      </c>
      <c r="F442" t="s">
        <v>815</v>
      </c>
      <c r="G442" t="s">
        <v>353</v>
      </c>
      <c r="H442">
        <v>22205842</v>
      </c>
      <c r="I442" t="s">
        <v>354</v>
      </c>
      <c r="J442">
        <v>1</v>
      </c>
      <c r="K442" t="s">
        <v>836</v>
      </c>
    </row>
    <row r="443" spans="1:11">
      <c r="A443" t="s">
        <v>837</v>
      </c>
      <c r="B443" t="str">
        <f t="shared" si="6"/>
        <v>Wikirate International e.V.+Level of assuranceHelm AG</v>
      </c>
      <c r="C443" t="s">
        <v>814</v>
      </c>
      <c r="D443" t="s">
        <v>132</v>
      </c>
      <c r="E443">
        <v>2024</v>
      </c>
      <c r="F443" t="s">
        <v>838</v>
      </c>
      <c r="G443" t="s">
        <v>268</v>
      </c>
      <c r="H443">
        <v>22205919</v>
      </c>
      <c r="J443">
        <v>1</v>
      </c>
    </row>
    <row r="444" spans="1:11">
      <c r="A444" t="s">
        <v>839</v>
      </c>
      <c r="B444" t="str">
        <f t="shared" si="6"/>
        <v>Wikirate International e.V.+Level of assuranceThyssenKrupp Group</v>
      </c>
      <c r="C444" t="s">
        <v>814</v>
      </c>
      <c r="D444" t="s">
        <v>129</v>
      </c>
      <c r="E444">
        <v>2024</v>
      </c>
      <c r="F444" t="s">
        <v>818</v>
      </c>
      <c r="G444" t="s">
        <v>265</v>
      </c>
      <c r="H444">
        <v>22206573</v>
      </c>
      <c r="I444" t="s">
        <v>266</v>
      </c>
      <c r="J444">
        <v>1</v>
      </c>
      <c r="K444" t="s">
        <v>840</v>
      </c>
    </row>
    <row r="445" spans="1:11">
      <c r="A445" t="s">
        <v>841</v>
      </c>
      <c r="B445" t="str">
        <f t="shared" si="6"/>
        <v>Wikirate International e.V.+Level of assuranceSiemens AG</v>
      </c>
      <c r="C445" t="s">
        <v>814</v>
      </c>
      <c r="D445" t="s">
        <v>148</v>
      </c>
      <c r="E445">
        <v>2024</v>
      </c>
      <c r="F445" t="s">
        <v>815</v>
      </c>
      <c r="G445" t="s">
        <v>270</v>
      </c>
      <c r="H445">
        <v>22207066</v>
      </c>
      <c r="J445">
        <v>1</v>
      </c>
      <c r="K445" t="s">
        <v>842</v>
      </c>
    </row>
    <row r="446" spans="1:11">
      <c r="A446" t="s">
        <v>843</v>
      </c>
      <c r="B446" t="str">
        <f t="shared" si="6"/>
        <v>Wikirate International e.V.+Level of assuranceSchaeffler Technologies</v>
      </c>
      <c r="C446" t="s">
        <v>814</v>
      </c>
      <c r="D446" t="s">
        <v>1618</v>
      </c>
      <c r="E446">
        <v>2024</v>
      </c>
      <c r="F446" t="s">
        <v>815</v>
      </c>
      <c r="G446" t="s">
        <v>281</v>
      </c>
      <c r="H446">
        <v>22207099</v>
      </c>
      <c r="J446">
        <v>1</v>
      </c>
      <c r="K446" t="s">
        <v>1581</v>
      </c>
    </row>
    <row r="447" spans="1:11">
      <c r="A447" t="s">
        <v>844</v>
      </c>
      <c r="B447" t="str">
        <f t="shared" si="6"/>
        <v>Wikirate International e.V.+Level of assuranceRobert Bosch GmbH</v>
      </c>
      <c r="C447" t="s">
        <v>814</v>
      </c>
      <c r="D447" t="s">
        <v>138</v>
      </c>
      <c r="E447">
        <v>2024</v>
      </c>
      <c r="F447" t="s">
        <v>818</v>
      </c>
      <c r="G447" t="s">
        <v>273</v>
      </c>
      <c r="H447">
        <v>22208631</v>
      </c>
      <c r="I447" t="s">
        <v>274</v>
      </c>
      <c r="J447">
        <v>1</v>
      </c>
      <c r="K447" t="s">
        <v>845</v>
      </c>
    </row>
    <row r="448" spans="1:11">
      <c r="A448" t="s">
        <v>846</v>
      </c>
      <c r="B448" t="str">
        <f t="shared" si="6"/>
        <v>Wikirate International e.V.+Level of assuranceGEA Group</v>
      </c>
      <c r="C448" t="s">
        <v>814</v>
      </c>
      <c r="D448" t="s">
        <v>135</v>
      </c>
      <c r="E448">
        <v>2024</v>
      </c>
      <c r="F448" t="s">
        <v>847</v>
      </c>
      <c r="G448" t="s">
        <v>360</v>
      </c>
      <c r="H448">
        <v>22208700</v>
      </c>
      <c r="J448">
        <v>1</v>
      </c>
      <c r="K448" t="s">
        <v>848</v>
      </c>
    </row>
    <row r="449" spans="1:11">
      <c r="A449" t="s">
        <v>849</v>
      </c>
      <c r="B449" t="str">
        <f t="shared" si="6"/>
        <v>Wikirate International e.V.+Level of assuranceMahle GmbH</v>
      </c>
      <c r="C449" t="s">
        <v>814</v>
      </c>
      <c r="D449" t="s">
        <v>142</v>
      </c>
      <c r="E449">
        <v>2024</v>
      </c>
      <c r="F449" t="s">
        <v>815</v>
      </c>
      <c r="G449" t="s">
        <v>276</v>
      </c>
      <c r="H449">
        <v>22208751</v>
      </c>
      <c r="J449">
        <v>1</v>
      </c>
      <c r="K449" t="s">
        <v>850</v>
      </c>
    </row>
    <row r="450" spans="1:11">
      <c r="A450" t="s">
        <v>851</v>
      </c>
      <c r="B450" t="str">
        <f t="shared" si="6"/>
        <v>Wikirate International e.V.+Level of assuranceVoith</v>
      </c>
      <c r="C450" t="s">
        <v>814</v>
      </c>
      <c r="D450" t="s">
        <v>145</v>
      </c>
      <c r="E450">
        <v>2024</v>
      </c>
      <c r="F450" t="s">
        <v>838</v>
      </c>
      <c r="G450" t="s">
        <v>278</v>
      </c>
      <c r="H450">
        <v>22209039</v>
      </c>
      <c r="I450" t="s">
        <v>279</v>
      </c>
      <c r="J450">
        <v>1</v>
      </c>
      <c r="K450" t="s">
        <v>852</v>
      </c>
    </row>
    <row r="451" spans="1:11">
      <c r="A451" t="s">
        <v>853</v>
      </c>
      <c r="B451" t="str">
        <f t="shared" si="6"/>
        <v>Wikirate International e.V.+Level of assuranceZF Friedrichshafen</v>
      </c>
      <c r="C451" t="s">
        <v>814</v>
      </c>
      <c r="D451" t="s">
        <v>152</v>
      </c>
      <c r="E451">
        <v>2024</v>
      </c>
      <c r="F451" t="s">
        <v>838</v>
      </c>
      <c r="G451" t="s">
        <v>283</v>
      </c>
      <c r="H451">
        <v>22209303</v>
      </c>
      <c r="J451">
        <v>1</v>
      </c>
      <c r="K451" t="s">
        <v>1582</v>
      </c>
    </row>
    <row r="452" spans="1:11">
      <c r="A452" t="s">
        <v>854</v>
      </c>
      <c r="B452" t="str">
        <f t="shared" si="6"/>
        <v>Wikirate International e.V.+Level of assuranceJungheinrich AG</v>
      </c>
      <c r="C452" t="s">
        <v>814</v>
      </c>
      <c r="D452" t="s">
        <v>155</v>
      </c>
      <c r="E452">
        <v>2024</v>
      </c>
      <c r="F452" t="s">
        <v>815</v>
      </c>
      <c r="G452" t="s">
        <v>285</v>
      </c>
      <c r="H452">
        <v>22209433</v>
      </c>
      <c r="J452">
        <v>1</v>
      </c>
      <c r="K452" t="s">
        <v>1583</v>
      </c>
    </row>
    <row r="453" spans="1:11">
      <c r="A453" t="s">
        <v>855</v>
      </c>
      <c r="B453" t="str">
        <f t="shared" si="6"/>
        <v>Wikirate International e.V.+Level of assuranceLanxess</v>
      </c>
      <c r="C453" t="s">
        <v>814</v>
      </c>
      <c r="D453" t="s">
        <v>194</v>
      </c>
      <c r="E453">
        <v>2024</v>
      </c>
      <c r="F453" t="s">
        <v>818</v>
      </c>
      <c r="G453" t="s">
        <v>287</v>
      </c>
      <c r="H453">
        <v>22210576</v>
      </c>
      <c r="J453">
        <v>1</v>
      </c>
      <c r="K453" t="s">
        <v>856</v>
      </c>
    </row>
    <row r="454" spans="1:11">
      <c r="A454" t="s">
        <v>857</v>
      </c>
      <c r="B454" t="str">
        <f t="shared" si="6"/>
        <v>Wikirate International e.V.+Level of assuranceKrones AG</v>
      </c>
      <c r="C454" t="s">
        <v>814</v>
      </c>
      <c r="D454" t="s">
        <v>168</v>
      </c>
      <c r="E454">
        <v>2024</v>
      </c>
      <c r="F454" t="s">
        <v>815</v>
      </c>
      <c r="G454" t="s">
        <v>371</v>
      </c>
      <c r="H454">
        <v>22211631</v>
      </c>
      <c r="J454">
        <v>1</v>
      </c>
      <c r="K454" t="s">
        <v>858</v>
      </c>
    </row>
    <row r="455" spans="1:11">
      <c r="A455" t="s">
        <v>859</v>
      </c>
      <c r="B455" t="str">
        <f t="shared" ref="B455:B518" si="7">C455&amp;D455</f>
        <v>Wikirate International e.V.+Level of assuranceHenkel AG &amp; Co. KGaA</v>
      </c>
      <c r="C455" t="s">
        <v>814</v>
      </c>
      <c r="D455" t="s">
        <v>172</v>
      </c>
      <c r="E455">
        <v>2024</v>
      </c>
      <c r="F455" t="s">
        <v>815</v>
      </c>
      <c r="G455" t="s">
        <v>374</v>
      </c>
      <c r="H455">
        <v>22211738</v>
      </c>
      <c r="I455" t="s">
        <v>375</v>
      </c>
      <c r="J455">
        <v>1</v>
      </c>
      <c r="K455" t="s">
        <v>860</v>
      </c>
    </row>
    <row r="456" spans="1:11">
      <c r="A456" t="s">
        <v>861</v>
      </c>
      <c r="B456" t="str">
        <f t="shared" si="7"/>
        <v>Wikirate International e.V.+Level of assuranceEnBW-Energie Baden-Wuerttemberg</v>
      </c>
      <c r="C456" t="s">
        <v>814</v>
      </c>
      <c r="D456" t="s">
        <v>177</v>
      </c>
      <c r="E456">
        <v>2024</v>
      </c>
      <c r="F456" t="s">
        <v>847</v>
      </c>
      <c r="G456" t="s">
        <v>377</v>
      </c>
      <c r="H456">
        <v>22218211</v>
      </c>
      <c r="J456">
        <v>1</v>
      </c>
      <c r="K456" t="s">
        <v>1584</v>
      </c>
    </row>
    <row r="457" spans="1:11">
      <c r="A457" t="s">
        <v>862</v>
      </c>
      <c r="B457" t="str">
        <f t="shared" si="7"/>
        <v>Wikirate International e.V.+Level of assuranceD√ºrr Group</v>
      </c>
      <c r="C457" t="s">
        <v>814</v>
      </c>
      <c r="D457" t="s">
        <v>191</v>
      </c>
      <c r="E457">
        <v>2024</v>
      </c>
      <c r="F457" t="s">
        <v>815</v>
      </c>
      <c r="G457" t="s">
        <v>299</v>
      </c>
      <c r="H457">
        <v>22218520</v>
      </c>
      <c r="I457" t="s">
        <v>300</v>
      </c>
      <c r="J457">
        <v>1</v>
      </c>
      <c r="K457" t="s">
        <v>863</v>
      </c>
    </row>
    <row r="458" spans="1:11">
      <c r="A458" t="s">
        <v>864</v>
      </c>
      <c r="B458" t="str">
        <f t="shared" si="7"/>
        <v>Wikirate International e.V.+Level of assuranceHELLA GMBH &amp; CO. KGAA</v>
      </c>
      <c r="C458" t="s">
        <v>814</v>
      </c>
      <c r="D458" t="s">
        <v>187</v>
      </c>
      <c r="E458">
        <v>2024</v>
      </c>
      <c r="F458" t="s">
        <v>815</v>
      </c>
      <c r="G458" t="s">
        <v>384</v>
      </c>
      <c r="H458">
        <v>22218860</v>
      </c>
      <c r="J458">
        <v>1</v>
      </c>
      <c r="K458" t="s">
        <v>865</v>
      </c>
    </row>
    <row r="459" spans="1:11">
      <c r="A459" t="s">
        <v>866</v>
      </c>
      <c r="B459" t="str">
        <f t="shared" si="7"/>
        <v>Wikirate International e.V.+Level of assuranceDeere &amp; Co</v>
      </c>
      <c r="C459" t="s">
        <v>814</v>
      </c>
      <c r="D459" t="s">
        <v>197</v>
      </c>
      <c r="E459">
        <v>2024</v>
      </c>
      <c r="F459" t="s">
        <v>847</v>
      </c>
      <c r="G459" t="s">
        <v>303</v>
      </c>
      <c r="H459">
        <v>22218959</v>
      </c>
      <c r="J459">
        <v>1</v>
      </c>
      <c r="K459" t="s">
        <v>867</v>
      </c>
    </row>
    <row r="460" spans="1:11">
      <c r="A460" t="s">
        <v>868</v>
      </c>
      <c r="B460" t="str">
        <f t="shared" si="7"/>
        <v>Wikirate International e.V.+Level of assuranceAmprion GmbH</v>
      </c>
      <c r="C460" t="s">
        <v>814</v>
      </c>
      <c r="D460" t="s">
        <v>182</v>
      </c>
      <c r="E460">
        <v>2024</v>
      </c>
      <c r="F460" t="s">
        <v>838</v>
      </c>
      <c r="G460" t="s">
        <v>389</v>
      </c>
      <c r="H460">
        <v>22219034</v>
      </c>
      <c r="J460">
        <v>1</v>
      </c>
    </row>
    <row r="461" spans="1:11">
      <c r="A461" t="s">
        <v>869</v>
      </c>
      <c r="B461" t="str">
        <f t="shared" si="7"/>
        <v>Wikirate International e.V.+Level of assuranceBoehringer Ingelheim GmbH</v>
      </c>
      <c r="C461" t="s">
        <v>814</v>
      </c>
      <c r="D461" t="s">
        <v>201</v>
      </c>
      <c r="E461">
        <v>2024</v>
      </c>
      <c r="F461" t="s">
        <v>838</v>
      </c>
      <c r="G461" t="s">
        <v>306</v>
      </c>
      <c r="H461">
        <v>22219158</v>
      </c>
      <c r="J461">
        <v>1</v>
      </c>
    </row>
    <row r="462" spans="1:11">
      <c r="A462" t="s">
        <v>870</v>
      </c>
      <c r="B462" t="str">
        <f t="shared" si="7"/>
        <v>Wikirate International e.V.+Level of assuranceHensoldt AG</v>
      </c>
      <c r="C462" t="s">
        <v>814</v>
      </c>
      <c r="D462" t="s">
        <v>208</v>
      </c>
      <c r="E462">
        <v>2024</v>
      </c>
      <c r="F462" t="s">
        <v>838</v>
      </c>
      <c r="G462" t="s">
        <v>297</v>
      </c>
      <c r="H462">
        <v>22219269</v>
      </c>
      <c r="J462">
        <v>1</v>
      </c>
      <c r="K462" t="s">
        <v>1585</v>
      </c>
    </row>
    <row r="463" spans="1:11">
      <c r="A463" t="s">
        <v>871</v>
      </c>
      <c r="B463" t="str">
        <f t="shared" si="7"/>
        <v>Wikirate International e.V.+Level of assuranceUniper SE</v>
      </c>
      <c r="C463" t="s">
        <v>814</v>
      </c>
      <c r="D463" t="s">
        <v>83</v>
      </c>
      <c r="E463">
        <v>2024</v>
      </c>
      <c r="F463" t="s">
        <v>815</v>
      </c>
      <c r="G463" t="s">
        <v>84</v>
      </c>
      <c r="H463">
        <v>22219891</v>
      </c>
      <c r="J463">
        <v>1</v>
      </c>
      <c r="K463" t="s">
        <v>872</v>
      </c>
    </row>
    <row r="464" spans="1:11">
      <c r="A464" t="s">
        <v>873</v>
      </c>
      <c r="B464" t="str">
        <f t="shared" si="7"/>
        <v>Wikirate International e.V.+Level of assuranceRheinmetall AG</v>
      </c>
      <c r="C464" t="s">
        <v>814</v>
      </c>
      <c r="D464" t="s">
        <v>79</v>
      </c>
      <c r="E464">
        <v>2024</v>
      </c>
      <c r="F464" t="s">
        <v>815</v>
      </c>
      <c r="G464" t="s">
        <v>80</v>
      </c>
      <c r="H464">
        <v>22219897</v>
      </c>
      <c r="J464">
        <v>1</v>
      </c>
      <c r="K464" t="s">
        <v>874</v>
      </c>
    </row>
    <row r="465" spans="1:11">
      <c r="A465" t="s">
        <v>875</v>
      </c>
      <c r="B465" t="str">
        <f t="shared" si="7"/>
        <v>Wikirate International e.V.+Level of assuranceSiemens Energy AG</v>
      </c>
      <c r="C465" t="s">
        <v>814</v>
      </c>
      <c r="D465" t="s">
        <v>71</v>
      </c>
      <c r="E465">
        <v>2024</v>
      </c>
      <c r="F465" t="s">
        <v>815</v>
      </c>
      <c r="G465" t="s">
        <v>72</v>
      </c>
      <c r="H465">
        <v>22246055</v>
      </c>
      <c r="J465">
        <v>1</v>
      </c>
      <c r="K465" t="s">
        <v>876</v>
      </c>
    </row>
    <row r="466" spans="1:11">
      <c r="A466" t="s">
        <v>877</v>
      </c>
      <c r="B466" t="str">
        <f t="shared" si="7"/>
        <v>Wikirate International e.V.+Level of assurance50Hertz Transmission</v>
      </c>
      <c r="C466" t="s">
        <v>814</v>
      </c>
      <c r="D466" t="s">
        <v>68</v>
      </c>
      <c r="E466">
        <v>2024</v>
      </c>
      <c r="F466" t="s">
        <v>815</v>
      </c>
      <c r="G466" t="s">
        <v>69</v>
      </c>
      <c r="H466">
        <v>22246138</v>
      </c>
      <c r="J466">
        <v>1</v>
      </c>
    </row>
    <row r="467" spans="1:11">
      <c r="A467" t="s">
        <v>878</v>
      </c>
      <c r="B467" t="str">
        <f t="shared" si="7"/>
        <v>Wikirate International e.V.+Level of assuranceKION Group</v>
      </c>
      <c r="C467" t="s">
        <v>814</v>
      </c>
      <c r="D467" t="s">
        <v>65</v>
      </c>
      <c r="E467">
        <v>2024</v>
      </c>
      <c r="F467" t="s">
        <v>815</v>
      </c>
      <c r="G467" t="s">
        <v>66</v>
      </c>
      <c r="H467">
        <v>22246331</v>
      </c>
      <c r="J467">
        <v>1</v>
      </c>
      <c r="K467" t="s">
        <v>879</v>
      </c>
    </row>
    <row r="468" spans="1:11">
      <c r="A468" t="s">
        <v>880</v>
      </c>
      <c r="B468" t="str">
        <f t="shared" si="7"/>
        <v>Wikirate International e.V.+Level of assuranceStadtwerke Munchen GmbH</v>
      </c>
      <c r="C468" t="s">
        <v>814</v>
      </c>
      <c r="D468" t="s">
        <v>61</v>
      </c>
      <c r="E468">
        <v>2024</v>
      </c>
      <c r="F468" t="s">
        <v>838</v>
      </c>
      <c r="G468" t="s">
        <v>62</v>
      </c>
      <c r="H468">
        <v>22246431</v>
      </c>
      <c r="J468">
        <v>1</v>
      </c>
      <c r="K468" t="s">
        <v>881</v>
      </c>
    </row>
    <row r="469" spans="1:11">
      <c r="A469" t="s">
        <v>882</v>
      </c>
      <c r="B469" t="str">
        <f t="shared" si="7"/>
        <v>Wikirate International e.V.+Level of assuranceDiehl Stiftung &amp; Co. KG</v>
      </c>
      <c r="C469" t="s">
        <v>814</v>
      </c>
      <c r="D469" t="s">
        <v>53</v>
      </c>
      <c r="E469">
        <v>2024</v>
      </c>
      <c r="F469" t="s">
        <v>838</v>
      </c>
      <c r="G469" t="s">
        <v>54</v>
      </c>
      <c r="H469">
        <v>22246669</v>
      </c>
      <c r="J469">
        <v>1</v>
      </c>
    </row>
    <row r="470" spans="1:11">
      <c r="A470" t="s">
        <v>883</v>
      </c>
      <c r="B470" t="str">
        <f t="shared" si="7"/>
        <v>Wikirate International e.V.+Level of assuranceMerck KGaA</v>
      </c>
      <c r="C470" t="s">
        <v>814</v>
      </c>
      <c r="D470" t="s">
        <v>49</v>
      </c>
      <c r="E470">
        <v>2024</v>
      </c>
      <c r="F470" t="s">
        <v>815</v>
      </c>
      <c r="G470" t="s">
        <v>50</v>
      </c>
      <c r="H470">
        <v>22246804</v>
      </c>
      <c r="J470">
        <v>1</v>
      </c>
      <c r="K470" t="s">
        <v>884</v>
      </c>
    </row>
    <row r="471" spans="1:11">
      <c r="A471" t="s">
        <v>885</v>
      </c>
      <c r="B471" t="str">
        <f t="shared" si="7"/>
        <v>Wikirate International e.V.+Level of assuranceEvonik</v>
      </c>
      <c r="C471" t="s">
        <v>814</v>
      </c>
      <c r="D471" t="s">
        <v>45</v>
      </c>
      <c r="E471">
        <v>2024</v>
      </c>
      <c r="F471" t="s">
        <v>815</v>
      </c>
      <c r="G471" t="s">
        <v>46</v>
      </c>
      <c r="H471">
        <v>22246945</v>
      </c>
      <c r="J471">
        <v>1</v>
      </c>
      <c r="K471" t="s">
        <v>886</v>
      </c>
    </row>
    <row r="472" spans="1:11">
      <c r="A472" t="s">
        <v>887</v>
      </c>
      <c r="B472" t="str">
        <f t="shared" si="7"/>
        <v>Wikirate International e.V.+Level of assuranceKNDS Group</v>
      </c>
      <c r="C472" t="s">
        <v>814</v>
      </c>
      <c r="D472" t="s">
        <v>42</v>
      </c>
      <c r="E472">
        <v>2024</v>
      </c>
      <c r="F472" t="s">
        <v>838</v>
      </c>
      <c r="G472" t="s">
        <v>43</v>
      </c>
      <c r="H472">
        <v>22247050</v>
      </c>
      <c r="J472">
        <v>1</v>
      </c>
    </row>
    <row r="473" spans="1:11">
      <c r="A473" t="s">
        <v>888</v>
      </c>
      <c r="B473" t="str">
        <f t="shared" si="7"/>
        <v>Wikirate International e.V.+Level of assuranceLockheed Martin</v>
      </c>
      <c r="C473" t="s">
        <v>814</v>
      </c>
      <c r="D473" t="s">
        <v>38</v>
      </c>
      <c r="E473">
        <v>2024</v>
      </c>
      <c r="F473" t="s">
        <v>815</v>
      </c>
      <c r="G473" t="s">
        <v>39</v>
      </c>
      <c r="H473">
        <v>22247130</v>
      </c>
      <c r="J473">
        <v>1</v>
      </c>
      <c r="K473" t="s">
        <v>889</v>
      </c>
    </row>
    <row r="474" spans="1:11">
      <c r="A474" t="s">
        <v>890</v>
      </c>
      <c r="B474" t="str">
        <f t="shared" si="7"/>
        <v>Wikirate International e.V.+Level of assuranceLeonardo</v>
      </c>
      <c r="C474" t="s">
        <v>814</v>
      </c>
      <c r="D474" t="s">
        <v>33</v>
      </c>
      <c r="E474">
        <v>2024</v>
      </c>
      <c r="F474" t="s">
        <v>815</v>
      </c>
      <c r="G474" t="s">
        <v>34</v>
      </c>
      <c r="H474">
        <v>22247408</v>
      </c>
      <c r="I474" t="s">
        <v>35</v>
      </c>
      <c r="J474">
        <v>1</v>
      </c>
      <c r="K474" t="s">
        <v>891</v>
      </c>
    </row>
    <row r="475" spans="1:11">
      <c r="A475" t="s">
        <v>892</v>
      </c>
      <c r="B475" t="str">
        <f t="shared" si="7"/>
        <v>Wikirate International e.V.+Level of assuranceCovestro</v>
      </c>
      <c r="C475" t="s">
        <v>814</v>
      </c>
      <c r="D475" t="s">
        <v>164</v>
      </c>
      <c r="E475">
        <v>2024</v>
      </c>
      <c r="F475" t="s">
        <v>815</v>
      </c>
      <c r="G475" t="s">
        <v>893</v>
      </c>
      <c r="H475">
        <v>22247431</v>
      </c>
      <c r="J475">
        <v>1</v>
      </c>
      <c r="K475" t="s">
        <v>894</v>
      </c>
    </row>
    <row r="476" spans="1:11">
      <c r="A476" t="s">
        <v>895</v>
      </c>
      <c r="B476" t="str">
        <f t="shared" si="7"/>
        <v>Wikirate International e.V.+Level of assuranceGelsenwasser</v>
      </c>
      <c r="C476" t="s">
        <v>814</v>
      </c>
      <c r="D476" t="s">
        <v>29</v>
      </c>
      <c r="E476">
        <v>2024</v>
      </c>
      <c r="F476" t="s">
        <v>838</v>
      </c>
      <c r="G476" t="s">
        <v>30</v>
      </c>
      <c r="H476">
        <v>22247840</v>
      </c>
      <c r="J476">
        <v>1</v>
      </c>
      <c r="K476" t="s">
        <v>896</v>
      </c>
    </row>
    <row r="477" spans="1:11">
      <c r="A477" t="s">
        <v>897</v>
      </c>
      <c r="B477" t="str">
        <f t="shared" si="7"/>
        <v>Wikirate International e.V.+Level of assuranceWacker Chemie</v>
      </c>
      <c r="C477" t="s">
        <v>814</v>
      </c>
      <c r="D477" t="s">
        <v>24</v>
      </c>
      <c r="E477">
        <v>2024</v>
      </c>
      <c r="F477" t="s">
        <v>815</v>
      </c>
      <c r="G477" t="s">
        <v>25</v>
      </c>
      <c r="H477">
        <v>22249948</v>
      </c>
      <c r="I477" t="s">
        <v>26</v>
      </c>
      <c r="J477">
        <v>1</v>
      </c>
      <c r="K477" t="s">
        <v>898</v>
      </c>
    </row>
    <row r="478" spans="1:11">
      <c r="A478" t="s">
        <v>899</v>
      </c>
      <c r="B478" t="str">
        <f t="shared" si="7"/>
        <v>Wikirate International e.V.+Level of assuranceTh√ºga Holding</v>
      </c>
      <c r="C478" t="s">
        <v>814</v>
      </c>
      <c r="D478" t="s">
        <v>20</v>
      </c>
      <c r="E478">
        <v>2024</v>
      </c>
      <c r="F478" t="s">
        <v>838</v>
      </c>
      <c r="G478" t="s">
        <v>1531</v>
      </c>
      <c r="H478">
        <v>22250814</v>
      </c>
      <c r="J478">
        <v>1</v>
      </c>
    </row>
    <row r="479" spans="1:11">
      <c r="A479" t="s">
        <v>900</v>
      </c>
      <c r="B479" t="str">
        <f t="shared" si="7"/>
        <v>Wikirate International e.V.+Archive of non-financial reportsVolkswagen AG</v>
      </c>
      <c r="C479" t="s">
        <v>901</v>
      </c>
      <c r="D479" t="s">
        <v>112</v>
      </c>
      <c r="E479">
        <v>2024</v>
      </c>
      <c r="F479" t="s">
        <v>15</v>
      </c>
      <c r="G479" t="s">
        <v>902</v>
      </c>
      <c r="H479">
        <v>22197846</v>
      </c>
      <c r="J479">
        <v>1</v>
      </c>
      <c r="K479" t="s">
        <v>903</v>
      </c>
    </row>
    <row r="480" spans="1:11">
      <c r="A480" t="s">
        <v>904</v>
      </c>
      <c r="B480" t="str">
        <f t="shared" si="7"/>
        <v>Wikirate International e.V.+Archive of non-financial reportsMercedes-Benz AG</v>
      </c>
      <c r="C480" t="s">
        <v>901</v>
      </c>
      <c r="D480" t="s">
        <v>102</v>
      </c>
      <c r="E480">
        <v>2024</v>
      </c>
      <c r="F480" t="s">
        <v>15</v>
      </c>
      <c r="G480" t="s">
        <v>103</v>
      </c>
      <c r="H480">
        <v>22197866</v>
      </c>
      <c r="J480">
        <v>2</v>
      </c>
      <c r="K480" t="s">
        <v>905</v>
      </c>
    </row>
    <row r="481" spans="1:11">
      <c r="A481" t="s">
        <v>906</v>
      </c>
      <c r="B481" t="str">
        <f t="shared" si="7"/>
        <v>Wikirate International e.V.+Archive of non-financial reportsBMW AG</v>
      </c>
      <c r="C481" t="s">
        <v>901</v>
      </c>
      <c r="D481" t="s">
        <v>92</v>
      </c>
      <c r="E481">
        <v>2024</v>
      </c>
      <c r="F481" t="s">
        <v>15</v>
      </c>
      <c r="G481" t="s">
        <v>907</v>
      </c>
      <c r="H481">
        <v>22204324</v>
      </c>
      <c r="J481">
        <v>1</v>
      </c>
      <c r="K481" t="s">
        <v>908</v>
      </c>
    </row>
    <row r="482" spans="1:11">
      <c r="A482" t="s">
        <v>909</v>
      </c>
      <c r="B482" t="str">
        <f t="shared" si="7"/>
        <v>Wikirate International e.V.+Archive of non-financial reportsContinental AG</v>
      </c>
      <c r="C482" t="s">
        <v>901</v>
      </c>
      <c r="D482" t="s">
        <v>126</v>
      </c>
      <c r="E482">
        <v>2024</v>
      </c>
      <c r="F482" t="s">
        <v>15</v>
      </c>
      <c r="G482" t="s">
        <v>727</v>
      </c>
      <c r="H482">
        <v>22205638</v>
      </c>
      <c r="J482">
        <v>1</v>
      </c>
    </row>
    <row r="483" spans="1:11">
      <c r="A483" t="s">
        <v>910</v>
      </c>
      <c r="B483" t="str">
        <f t="shared" si="7"/>
        <v>Wikirate International e.V.+Archive of non-financial reportsThyssenKrupp Group</v>
      </c>
      <c r="C483" t="s">
        <v>901</v>
      </c>
      <c r="D483" t="s">
        <v>129</v>
      </c>
      <c r="E483">
        <v>2024</v>
      </c>
      <c r="F483" t="s">
        <v>15</v>
      </c>
      <c r="G483" t="s">
        <v>911</v>
      </c>
      <c r="H483">
        <v>22206194</v>
      </c>
      <c r="J483">
        <v>1</v>
      </c>
      <c r="K483" t="s">
        <v>912</v>
      </c>
    </row>
    <row r="484" spans="1:11">
      <c r="A484" t="s">
        <v>913</v>
      </c>
      <c r="B484" t="str">
        <f t="shared" si="7"/>
        <v>Wikirate International e.V.+Archive of non-financial reportsJenoptik AG</v>
      </c>
      <c r="C484" t="s">
        <v>901</v>
      </c>
      <c r="D484" t="s">
        <v>123</v>
      </c>
      <c r="E484">
        <v>2024</v>
      </c>
      <c r="F484" t="s">
        <v>15</v>
      </c>
      <c r="G484" t="s">
        <v>124</v>
      </c>
      <c r="H484">
        <v>22206353</v>
      </c>
      <c r="J484">
        <v>1</v>
      </c>
    </row>
    <row r="485" spans="1:11">
      <c r="A485" t="s">
        <v>914</v>
      </c>
      <c r="B485" t="str">
        <f t="shared" si="7"/>
        <v>Wikirate International e.V.+Archive of non-financial reportsHelm AG</v>
      </c>
      <c r="C485" t="s">
        <v>901</v>
      </c>
      <c r="D485" t="s">
        <v>132</v>
      </c>
      <c r="E485">
        <v>2024</v>
      </c>
      <c r="F485" t="s">
        <v>21</v>
      </c>
      <c r="G485" t="s">
        <v>133</v>
      </c>
      <c r="H485">
        <v>22206399</v>
      </c>
      <c r="J485">
        <v>1</v>
      </c>
    </row>
    <row r="486" spans="1:11">
      <c r="A486" t="s">
        <v>915</v>
      </c>
      <c r="B486" t="str">
        <f t="shared" si="7"/>
        <v>Wikirate International e.V.+Archive of non-financial reportsGEA Group</v>
      </c>
      <c r="C486" t="s">
        <v>901</v>
      </c>
      <c r="D486" t="s">
        <v>135</v>
      </c>
      <c r="E486">
        <v>2024</v>
      </c>
      <c r="F486" t="s">
        <v>15</v>
      </c>
      <c r="G486" t="s">
        <v>916</v>
      </c>
      <c r="H486">
        <v>22206972</v>
      </c>
      <c r="J486">
        <v>1</v>
      </c>
      <c r="K486" t="s">
        <v>917</v>
      </c>
    </row>
    <row r="487" spans="1:11">
      <c r="A487" t="s">
        <v>918</v>
      </c>
      <c r="B487" t="str">
        <f t="shared" si="7"/>
        <v>Wikirate International e.V.+Archive of non-financial reportsRobert Bosch GmbH</v>
      </c>
      <c r="C487" t="s">
        <v>901</v>
      </c>
      <c r="D487" t="s">
        <v>138</v>
      </c>
      <c r="E487">
        <v>2024</v>
      </c>
      <c r="F487" t="s">
        <v>15</v>
      </c>
      <c r="G487" t="s">
        <v>139</v>
      </c>
      <c r="H487">
        <v>22208547</v>
      </c>
      <c r="J487">
        <v>1</v>
      </c>
    </row>
    <row r="488" spans="1:11">
      <c r="A488" t="s">
        <v>919</v>
      </c>
      <c r="B488" t="str">
        <f t="shared" si="7"/>
        <v>Wikirate International e.V.+Archive of non-financial reportsMahle GmbH</v>
      </c>
      <c r="C488" t="s">
        <v>901</v>
      </c>
      <c r="D488" t="s">
        <v>142</v>
      </c>
      <c r="E488">
        <v>2024</v>
      </c>
      <c r="F488" t="s">
        <v>15</v>
      </c>
      <c r="G488" t="s">
        <v>143</v>
      </c>
      <c r="H488">
        <v>22208666</v>
      </c>
      <c r="J488">
        <v>1</v>
      </c>
    </row>
    <row r="489" spans="1:11">
      <c r="A489" t="s">
        <v>920</v>
      </c>
      <c r="B489" t="str">
        <f t="shared" si="7"/>
        <v>Wikirate International e.V.+Archive of non-financial reportsVoith</v>
      </c>
      <c r="C489" t="s">
        <v>901</v>
      </c>
      <c r="D489" t="s">
        <v>145</v>
      </c>
      <c r="E489">
        <v>2024</v>
      </c>
      <c r="F489" t="s">
        <v>15</v>
      </c>
      <c r="G489" t="s">
        <v>921</v>
      </c>
      <c r="H489">
        <v>22208918</v>
      </c>
      <c r="J489">
        <v>1</v>
      </c>
    </row>
    <row r="490" spans="1:11">
      <c r="A490" t="s">
        <v>922</v>
      </c>
      <c r="B490" t="str">
        <f t="shared" si="7"/>
        <v>Wikirate International e.V.+Archive of non-financial reportsSiemens AG</v>
      </c>
      <c r="C490" t="s">
        <v>901</v>
      </c>
      <c r="D490" t="s">
        <v>148</v>
      </c>
      <c r="E490">
        <v>2024</v>
      </c>
      <c r="F490" t="s">
        <v>15</v>
      </c>
      <c r="G490" t="s">
        <v>149</v>
      </c>
      <c r="H490">
        <v>22209086</v>
      </c>
      <c r="J490">
        <v>1</v>
      </c>
      <c r="K490" t="s">
        <v>923</v>
      </c>
    </row>
    <row r="491" spans="1:11">
      <c r="A491" t="s">
        <v>924</v>
      </c>
      <c r="B491" t="str">
        <f t="shared" si="7"/>
        <v>Wikirate International e.V.+Archive of non-financial reportsSchaeffler Technologies</v>
      </c>
      <c r="C491" t="s">
        <v>901</v>
      </c>
      <c r="D491" t="s">
        <v>1618</v>
      </c>
      <c r="E491">
        <v>2024</v>
      </c>
      <c r="F491" t="s">
        <v>15</v>
      </c>
      <c r="G491" t="s">
        <v>159</v>
      </c>
      <c r="H491">
        <v>22209213</v>
      </c>
      <c r="J491">
        <v>1</v>
      </c>
      <c r="K491" t="s">
        <v>925</v>
      </c>
    </row>
    <row r="492" spans="1:11">
      <c r="A492" t="s">
        <v>926</v>
      </c>
      <c r="B492" t="str">
        <f t="shared" si="7"/>
        <v>Wikirate International e.V.+Archive of non-financial reportsZF Friedrichshafen</v>
      </c>
      <c r="C492" t="s">
        <v>901</v>
      </c>
      <c r="D492" t="s">
        <v>152</v>
      </c>
      <c r="E492">
        <v>2024</v>
      </c>
      <c r="F492" t="s">
        <v>15</v>
      </c>
      <c r="G492" t="s">
        <v>153</v>
      </c>
      <c r="H492">
        <v>22209229</v>
      </c>
      <c r="J492">
        <v>1</v>
      </c>
    </row>
    <row r="493" spans="1:11">
      <c r="A493" t="s">
        <v>927</v>
      </c>
      <c r="B493" t="str">
        <f t="shared" si="7"/>
        <v>Wikirate International e.V.+Archive of non-financial reportsJungheinrich AG</v>
      </c>
      <c r="C493" t="s">
        <v>901</v>
      </c>
      <c r="D493" t="s">
        <v>155</v>
      </c>
      <c r="E493">
        <v>2024</v>
      </c>
      <c r="F493" t="s">
        <v>21</v>
      </c>
      <c r="G493" t="s">
        <v>285</v>
      </c>
      <c r="H493">
        <v>22209350</v>
      </c>
      <c r="J493">
        <v>2</v>
      </c>
      <c r="K493" t="s">
        <v>1586</v>
      </c>
    </row>
    <row r="494" spans="1:11">
      <c r="A494" t="s">
        <v>928</v>
      </c>
      <c r="B494" t="str">
        <f t="shared" si="7"/>
        <v>Wikirate International e.V.+Archive of non-financial reportsDaimler Truck AG</v>
      </c>
      <c r="C494" t="s">
        <v>901</v>
      </c>
      <c r="D494" t="s">
        <v>118</v>
      </c>
      <c r="E494">
        <v>2024</v>
      </c>
      <c r="F494" t="s">
        <v>15</v>
      </c>
      <c r="G494" t="s">
        <v>929</v>
      </c>
      <c r="H494">
        <v>22210609</v>
      </c>
      <c r="J494">
        <v>1</v>
      </c>
      <c r="K494" t="s">
        <v>930</v>
      </c>
    </row>
    <row r="495" spans="1:11">
      <c r="A495" t="s">
        <v>931</v>
      </c>
      <c r="B495" t="str">
        <f t="shared" si="7"/>
        <v>Wikirate International e.V.+Archive of non-financial reportsCovestro</v>
      </c>
      <c r="C495" t="s">
        <v>901</v>
      </c>
      <c r="D495" t="s">
        <v>164</v>
      </c>
      <c r="E495">
        <v>2024</v>
      </c>
      <c r="F495" t="s">
        <v>21</v>
      </c>
      <c r="G495" t="s">
        <v>165</v>
      </c>
      <c r="H495">
        <v>22211012</v>
      </c>
      <c r="J495">
        <v>1</v>
      </c>
      <c r="K495" t="s">
        <v>932</v>
      </c>
    </row>
    <row r="496" spans="1:11">
      <c r="A496" t="s">
        <v>933</v>
      </c>
      <c r="B496" t="str">
        <f t="shared" si="7"/>
        <v>Wikirate International e.V.+Archive of non-financial reportsKrones AG</v>
      </c>
      <c r="C496" t="s">
        <v>901</v>
      </c>
      <c r="D496" t="s">
        <v>168</v>
      </c>
      <c r="E496">
        <v>2024</v>
      </c>
      <c r="F496" t="s">
        <v>15</v>
      </c>
      <c r="G496" t="s">
        <v>169</v>
      </c>
      <c r="H496">
        <v>22211492</v>
      </c>
      <c r="J496">
        <v>1</v>
      </c>
    </row>
    <row r="497" spans="1:11">
      <c r="A497" t="s">
        <v>934</v>
      </c>
      <c r="B497" t="str">
        <f t="shared" si="7"/>
        <v>Wikirate International e.V.+Archive of non-financial reportsHenkel AG &amp; Co. KGaA</v>
      </c>
      <c r="C497" t="s">
        <v>901</v>
      </c>
      <c r="D497" t="s">
        <v>172</v>
      </c>
      <c r="E497">
        <v>2024</v>
      </c>
      <c r="F497" t="s">
        <v>15</v>
      </c>
      <c r="G497" t="s">
        <v>173</v>
      </c>
      <c r="H497">
        <v>22211667</v>
      </c>
      <c r="I497" t="s">
        <v>174</v>
      </c>
      <c r="J497">
        <v>1</v>
      </c>
      <c r="K497" t="s">
        <v>935</v>
      </c>
    </row>
    <row r="498" spans="1:11">
      <c r="A498" t="s">
        <v>936</v>
      </c>
      <c r="B498" t="str">
        <f t="shared" si="7"/>
        <v>Wikirate International e.V.+Archive of non-financial reportsEnBW-Energie Baden-Wuerttemberg</v>
      </c>
      <c r="C498" t="s">
        <v>901</v>
      </c>
      <c r="D498" t="s">
        <v>177</v>
      </c>
      <c r="E498">
        <v>2024</v>
      </c>
      <c r="F498" t="s">
        <v>15</v>
      </c>
      <c r="G498" t="s">
        <v>937</v>
      </c>
      <c r="H498">
        <v>22218147</v>
      </c>
      <c r="I498" t="s">
        <v>938</v>
      </c>
      <c r="J498">
        <v>1</v>
      </c>
      <c r="K498" t="s">
        <v>939</v>
      </c>
    </row>
    <row r="499" spans="1:11">
      <c r="A499" t="s">
        <v>940</v>
      </c>
      <c r="B499" t="str">
        <f t="shared" si="7"/>
        <v>Wikirate International e.V.+Archive of non-financial reportsBASF SE</v>
      </c>
      <c r="C499" t="s">
        <v>901</v>
      </c>
      <c r="D499" t="s">
        <v>108</v>
      </c>
      <c r="E499">
        <v>2024</v>
      </c>
      <c r="F499" t="s">
        <v>15</v>
      </c>
      <c r="G499" t="s">
        <v>1587</v>
      </c>
      <c r="H499">
        <v>22218528</v>
      </c>
      <c r="J499">
        <v>1</v>
      </c>
      <c r="K499" t="s">
        <v>1588</v>
      </c>
    </row>
    <row r="500" spans="1:11">
      <c r="A500" t="s">
        <v>941</v>
      </c>
      <c r="B500" t="str">
        <f t="shared" si="7"/>
        <v>Wikirate International e.V.+Archive of non-financial reportsD√ºrr Group</v>
      </c>
      <c r="C500" t="s">
        <v>901</v>
      </c>
      <c r="D500" t="s">
        <v>191</v>
      </c>
      <c r="E500">
        <v>2024</v>
      </c>
      <c r="F500" t="s">
        <v>15</v>
      </c>
      <c r="G500" t="s">
        <v>192</v>
      </c>
      <c r="H500">
        <v>22218599</v>
      </c>
      <c r="J500">
        <v>1</v>
      </c>
    </row>
    <row r="501" spans="1:11">
      <c r="A501" t="s">
        <v>942</v>
      </c>
      <c r="B501" t="str">
        <f t="shared" si="7"/>
        <v>Wikirate International e.V.+Archive of non-financial reportsLanxess</v>
      </c>
      <c r="C501" t="s">
        <v>901</v>
      </c>
      <c r="D501" t="s">
        <v>194</v>
      </c>
      <c r="E501">
        <v>2024</v>
      </c>
      <c r="F501" t="s">
        <v>15</v>
      </c>
      <c r="G501" t="s">
        <v>195</v>
      </c>
      <c r="H501">
        <v>22218743</v>
      </c>
      <c r="J501">
        <v>1</v>
      </c>
    </row>
    <row r="502" spans="1:11">
      <c r="A502" t="s">
        <v>943</v>
      </c>
      <c r="B502" t="str">
        <f t="shared" si="7"/>
        <v>Wikirate International e.V.+Archive of non-financial reportsHELLA GMBH &amp; CO. KGAA</v>
      </c>
      <c r="C502" t="s">
        <v>901</v>
      </c>
      <c r="D502" t="s">
        <v>187</v>
      </c>
      <c r="E502">
        <v>2024</v>
      </c>
      <c r="F502" t="s">
        <v>15</v>
      </c>
      <c r="G502" t="s">
        <v>188</v>
      </c>
      <c r="H502">
        <v>22218793</v>
      </c>
      <c r="I502" t="s">
        <v>189</v>
      </c>
      <c r="J502">
        <v>1</v>
      </c>
      <c r="K502" t="s">
        <v>944</v>
      </c>
    </row>
    <row r="503" spans="1:11">
      <c r="A503" t="s">
        <v>945</v>
      </c>
      <c r="B503" t="str">
        <f t="shared" si="7"/>
        <v>Wikirate International e.V.+Archive of non-financial reportsDeere &amp; Co</v>
      </c>
      <c r="C503" t="s">
        <v>901</v>
      </c>
      <c r="D503" t="s">
        <v>197</v>
      </c>
      <c r="E503">
        <v>2024</v>
      </c>
      <c r="F503" t="s">
        <v>15</v>
      </c>
      <c r="G503" t="s">
        <v>198</v>
      </c>
      <c r="H503">
        <v>22218889</v>
      </c>
      <c r="J503">
        <v>1</v>
      </c>
      <c r="K503" t="s">
        <v>946</v>
      </c>
    </row>
    <row r="504" spans="1:11">
      <c r="A504" t="s">
        <v>947</v>
      </c>
      <c r="B504" t="str">
        <f t="shared" si="7"/>
        <v>Wikirate International e.V.+Archive of non-financial reportsAmprion GmbH</v>
      </c>
      <c r="C504" t="s">
        <v>901</v>
      </c>
      <c r="D504" t="s">
        <v>182</v>
      </c>
      <c r="E504">
        <v>2024</v>
      </c>
      <c r="F504" t="s">
        <v>15</v>
      </c>
      <c r="G504" t="s">
        <v>183</v>
      </c>
      <c r="H504">
        <v>22218982</v>
      </c>
      <c r="I504" t="s">
        <v>184</v>
      </c>
      <c r="J504">
        <v>1</v>
      </c>
      <c r="K504" t="s">
        <v>948</v>
      </c>
    </row>
    <row r="505" spans="1:11">
      <c r="A505" t="s">
        <v>949</v>
      </c>
      <c r="B505" t="str">
        <f t="shared" si="7"/>
        <v>Wikirate International e.V.+Archive of non-financial reportsBoehringer Ingelheim GmbH</v>
      </c>
      <c r="C505" t="s">
        <v>901</v>
      </c>
      <c r="D505" t="s">
        <v>201</v>
      </c>
      <c r="E505">
        <v>2024</v>
      </c>
      <c r="F505" t="s">
        <v>15</v>
      </c>
      <c r="G505" t="s">
        <v>950</v>
      </c>
      <c r="H505">
        <v>22219092</v>
      </c>
      <c r="I505" t="s">
        <v>951</v>
      </c>
      <c r="J505">
        <v>1</v>
      </c>
      <c r="K505" t="s">
        <v>952</v>
      </c>
    </row>
    <row r="506" spans="1:11">
      <c r="A506" t="s">
        <v>953</v>
      </c>
      <c r="B506" t="str">
        <f t="shared" si="7"/>
        <v>Wikirate International e.V.+Archive of non-financial reportsBayer AG</v>
      </c>
      <c r="C506" t="s">
        <v>901</v>
      </c>
      <c r="D506" t="s">
        <v>87</v>
      </c>
      <c r="E506">
        <v>2024</v>
      </c>
      <c r="F506" t="s">
        <v>15</v>
      </c>
      <c r="G506" t="s">
        <v>106</v>
      </c>
      <c r="H506">
        <v>22219166</v>
      </c>
      <c r="J506">
        <v>1</v>
      </c>
    </row>
    <row r="507" spans="1:11">
      <c r="A507" t="s">
        <v>954</v>
      </c>
      <c r="B507" t="str">
        <f t="shared" si="7"/>
        <v>Wikirate International e.V.+Archive of non-financial reportsHensoldt AG</v>
      </c>
      <c r="C507" t="s">
        <v>901</v>
      </c>
      <c r="D507" t="s">
        <v>208</v>
      </c>
      <c r="E507">
        <v>2024</v>
      </c>
      <c r="F507" t="s">
        <v>15</v>
      </c>
      <c r="G507" t="s">
        <v>209</v>
      </c>
      <c r="H507">
        <v>22219204</v>
      </c>
      <c r="J507">
        <v>1</v>
      </c>
      <c r="K507" t="s">
        <v>955</v>
      </c>
    </row>
    <row r="508" spans="1:11">
      <c r="A508" t="s">
        <v>956</v>
      </c>
      <c r="B508" t="str">
        <f t="shared" si="7"/>
        <v>Wikirate International e.V.+Archive of non-financial reportsRWE Group</v>
      </c>
      <c r="C508" t="s">
        <v>901</v>
      </c>
      <c r="D508" t="s">
        <v>14</v>
      </c>
      <c r="E508">
        <v>2024</v>
      </c>
      <c r="F508" t="s">
        <v>15</v>
      </c>
      <c r="G508" t="s">
        <v>720</v>
      </c>
      <c r="H508">
        <v>22219292</v>
      </c>
      <c r="J508">
        <v>1</v>
      </c>
    </row>
    <row r="509" spans="1:11">
      <c r="A509" t="s">
        <v>957</v>
      </c>
      <c r="B509" t="str">
        <f t="shared" si="7"/>
        <v>Wikirate International e.V.+Archive of non-financial reportsRheinmetall AG</v>
      </c>
      <c r="C509" t="s">
        <v>901</v>
      </c>
      <c r="D509" t="s">
        <v>79</v>
      </c>
      <c r="E509">
        <v>2024</v>
      </c>
      <c r="F509" t="s">
        <v>21</v>
      </c>
      <c r="G509" t="s">
        <v>958</v>
      </c>
      <c r="H509">
        <v>22219569</v>
      </c>
      <c r="J509">
        <v>1</v>
      </c>
    </row>
    <row r="510" spans="1:11">
      <c r="A510" t="s">
        <v>959</v>
      </c>
      <c r="B510" t="str">
        <f t="shared" si="7"/>
        <v>Wikirate International e.V.+Archive of non-financial reportsUniper SE</v>
      </c>
      <c r="C510" t="s">
        <v>901</v>
      </c>
      <c r="D510" t="s">
        <v>83</v>
      </c>
      <c r="E510">
        <v>2024</v>
      </c>
      <c r="F510" t="s">
        <v>15</v>
      </c>
      <c r="G510" t="s">
        <v>216</v>
      </c>
      <c r="H510">
        <v>22219693</v>
      </c>
      <c r="J510">
        <v>1</v>
      </c>
      <c r="K510" t="s">
        <v>960</v>
      </c>
    </row>
    <row r="511" spans="1:11">
      <c r="A511" t="s">
        <v>961</v>
      </c>
      <c r="B511" t="str">
        <f t="shared" si="7"/>
        <v>Wikirate International e.V.+Archive of non-financial reportsAirbus Group</v>
      </c>
      <c r="C511" t="s">
        <v>901</v>
      </c>
      <c r="D511" t="s">
        <v>74</v>
      </c>
      <c r="E511">
        <v>2024</v>
      </c>
      <c r="F511" t="s">
        <v>15</v>
      </c>
      <c r="G511" t="s">
        <v>962</v>
      </c>
      <c r="H511">
        <v>22245849</v>
      </c>
      <c r="J511">
        <v>1</v>
      </c>
      <c r="K511" t="s">
        <v>963</v>
      </c>
    </row>
    <row r="512" spans="1:11">
      <c r="A512" t="s">
        <v>964</v>
      </c>
      <c r="B512" t="str">
        <f t="shared" si="7"/>
        <v>Wikirate International e.V.+Archive of non-financial reportsSiemens Energy AG</v>
      </c>
      <c r="C512" t="s">
        <v>901</v>
      </c>
      <c r="D512" t="s">
        <v>71</v>
      </c>
      <c r="E512">
        <v>2024</v>
      </c>
      <c r="F512" t="s">
        <v>15</v>
      </c>
      <c r="G512" t="s">
        <v>212</v>
      </c>
      <c r="H512">
        <v>22245988</v>
      </c>
      <c r="J512">
        <v>1</v>
      </c>
    </row>
    <row r="513" spans="1:11">
      <c r="A513" t="s">
        <v>965</v>
      </c>
      <c r="B513" t="str">
        <f t="shared" si="7"/>
        <v>Wikirate International e.V.+Archive of non-financial reports50Hertz Transmission</v>
      </c>
      <c r="C513" t="s">
        <v>901</v>
      </c>
      <c r="D513" t="s">
        <v>68</v>
      </c>
      <c r="E513">
        <v>2024</v>
      </c>
      <c r="F513" t="s">
        <v>21</v>
      </c>
      <c r="G513" t="s">
        <v>219</v>
      </c>
      <c r="H513">
        <v>22246087</v>
      </c>
      <c r="I513" t="s">
        <v>220</v>
      </c>
      <c r="J513">
        <v>1</v>
      </c>
      <c r="K513" t="s">
        <v>966</v>
      </c>
    </row>
    <row r="514" spans="1:11">
      <c r="A514" t="s">
        <v>967</v>
      </c>
      <c r="B514" t="str">
        <f t="shared" si="7"/>
        <v>Wikirate International e.V.+Archive of non-financial reportsKION Group</v>
      </c>
      <c r="C514" t="s">
        <v>901</v>
      </c>
      <c r="D514" t="s">
        <v>65</v>
      </c>
      <c r="E514">
        <v>2024</v>
      </c>
      <c r="F514" t="s">
        <v>15</v>
      </c>
      <c r="G514" t="s">
        <v>1589</v>
      </c>
      <c r="H514">
        <v>22246209</v>
      </c>
      <c r="J514">
        <v>2</v>
      </c>
      <c r="K514" t="s">
        <v>1590</v>
      </c>
    </row>
    <row r="515" spans="1:11">
      <c r="A515" t="s">
        <v>968</v>
      </c>
      <c r="B515" t="str">
        <f t="shared" si="7"/>
        <v>Wikirate International e.V.+Archive of non-financial reportsStadtwerke Munchen GmbH</v>
      </c>
      <c r="C515" t="s">
        <v>901</v>
      </c>
      <c r="D515" t="s">
        <v>61</v>
      </c>
      <c r="E515">
        <v>2024</v>
      </c>
      <c r="F515" t="s">
        <v>21</v>
      </c>
      <c r="G515" t="s">
        <v>206</v>
      </c>
      <c r="H515">
        <v>22246320</v>
      </c>
      <c r="J515">
        <v>1</v>
      </c>
      <c r="K515" t="s">
        <v>969</v>
      </c>
    </row>
    <row r="516" spans="1:11">
      <c r="A516" t="s">
        <v>970</v>
      </c>
      <c r="B516" t="str">
        <f t="shared" si="7"/>
        <v>Wikirate International e.V.+Archive of non-financial reportsE.ON SE</v>
      </c>
      <c r="C516" t="s">
        <v>901</v>
      </c>
      <c r="D516" t="s">
        <v>57</v>
      </c>
      <c r="E516">
        <v>2024</v>
      </c>
      <c r="F516" t="s">
        <v>15</v>
      </c>
      <c r="G516" t="s">
        <v>971</v>
      </c>
      <c r="H516">
        <v>22246482</v>
      </c>
      <c r="J516">
        <v>1</v>
      </c>
      <c r="K516" t="s">
        <v>972</v>
      </c>
    </row>
    <row r="517" spans="1:11">
      <c r="A517" t="s">
        <v>973</v>
      </c>
      <c r="B517" t="str">
        <f t="shared" si="7"/>
        <v>Wikirate International e.V.+Archive of non-financial reportsLockheed Martin</v>
      </c>
      <c r="C517" t="s">
        <v>901</v>
      </c>
      <c r="D517" t="s">
        <v>38</v>
      </c>
      <c r="E517">
        <v>2024</v>
      </c>
      <c r="F517" t="s">
        <v>21</v>
      </c>
      <c r="G517" t="s">
        <v>223</v>
      </c>
      <c r="H517">
        <v>22246503</v>
      </c>
      <c r="J517">
        <v>2</v>
      </c>
      <c r="K517" t="s">
        <v>1591</v>
      </c>
    </row>
    <row r="518" spans="1:11">
      <c r="A518" t="s">
        <v>974</v>
      </c>
      <c r="B518" t="str">
        <f t="shared" si="7"/>
        <v>Wikirate International e.V.+Archive of non-financial reportsDiehl Stiftung &amp; Co. KG</v>
      </c>
      <c r="C518" t="s">
        <v>901</v>
      </c>
      <c r="D518" t="s">
        <v>53</v>
      </c>
      <c r="E518">
        <v>2024</v>
      </c>
      <c r="F518" t="s">
        <v>21</v>
      </c>
      <c r="G518" t="s">
        <v>225</v>
      </c>
      <c r="H518">
        <v>22246591</v>
      </c>
      <c r="J518">
        <v>1</v>
      </c>
    </row>
    <row r="519" spans="1:11">
      <c r="A519" t="s">
        <v>975</v>
      </c>
      <c r="B519" t="str">
        <f t="shared" ref="B519:B582" si="8">C519&amp;D519</f>
        <v>Wikirate International e.V.+Archive of non-financial reportsMerck KGaA</v>
      </c>
      <c r="C519" t="s">
        <v>901</v>
      </c>
      <c r="D519" t="s">
        <v>49</v>
      </c>
      <c r="E519">
        <v>2024</v>
      </c>
      <c r="F519" t="s">
        <v>15</v>
      </c>
      <c r="G519" t="s">
        <v>227</v>
      </c>
      <c r="H519">
        <v>22246731</v>
      </c>
      <c r="J519">
        <v>1</v>
      </c>
    </row>
    <row r="520" spans="1:11">
      <c r="A520" t="s">
        <v>976</v>
      </c>
      <c r="B520" t="str">
        <f t="shared" si="8"/>
        <v>Wikirate International e.V.+Archive of non-financial reportsEvonik</v>
      </c>
      <c r="C520" t="s">
        <v>901</v>
      </c>
      <c r="D520" t="s">
        <v>45</v>
      </c>
      <c r="E520">
        <v>2024</v>
      </c>
      <c r="F520" t="s">
        <v>15</v>
      </c>
      <c r="G520" t="s">
        <v>230</v>
      </c>
      <c r="H520">
        <v>22246835</v>
      </c>
      <c r="J520">
        <v>1</v>
      </c>
    </row>
    <row r="521" spans="1:11">
      <c r="A521" t="s">
        <v>977</v>
      </c>
      <c r="B521" t="str">
        <f t="shared" si="8"/>
        <v>Wikirate International e.V.+Archive of non-financial reportsKNDS Group</v>
      </c>
      <c r="C521" t="s">
        <v>901</v>
      </c>
      <c r="D521" t="s">
        <v>42</v>
      </c>
      <c r="E521">
        <v>2024</v>
      </c>
      <c r="F521" t="s">
        <v>21</v>
      </c>
      <c r="G521" t="s">
        <v>43</v>
      </c>
      <c r="H521">
        <v>22246979</v>
      </c>
      <c r="J521">
        <v>1</v>
      </c>
    </row>
    <row r="522" spans="1:11">
      <c r="A522" t="s">
        <v>978</v>
      </c>
      <c r="B522" t="str">
        <f t="shared" si="8"/>
        <v>Wikirate International e.V.+Archive of non-financial reportsLeonardo</v>
      </c>
      <c r="C522" t="s">
        <v>901</v>
      </c>
      <c r="D522" t="s">
        <v>33</v>
      </c>
      <c r="E522">
        <v>2024</v>
      </c>
      <c r="F522" t="s">
        <v>15</v>
      </c>
      <c r="G522" t="s">
        <v>803</v>
      </c>
      <c r="H522">
        <v>22247164</v>
      </c>
      <c r="J522">
        <v>1</v>
      </c>
    </row>
    <row r="523" spans="1:11">
      <c r="A523" t="s">
        <v>979</v>
      </c>
      <c r="B523" t="str">
        <f t="shared" si="8"/>
        <v>Wikirate International e.V.+Archive of non-financial reportsGelsenwasser</v>
      </c>
      <c r="C523" t="s">
        <v>901</v>
      </c>
      <c r="D523" t="s">
        <v>29</v>
      </c>
      <c r="E523">
        <v>2024</v>
      </c>
      <c r="F523" t="s">
        <v>21</v>
      </c>
      <c r="G523" t="s">
        <v>980</v>
      </c>
      <c r="H523">
        <v>22247770</v>
      </c>
      <c r="J523">
        <v>2</v>
      </c>
      <c r="K523" t="s">
        <v>981</v>
      </c>
    </row>
    <row r="524" spans="1:11">
      <c r="A524" t="s">
        <v>982</v>
      </c>
      <c r="B524" t="str">
        <f t="shared" si="8"/>
        <v>Wikirate International e.V.+Archive of non-financial reportsWacker Chemie</v>
      </c>
      <c r="C524" t="s">
        <v>901</v>
      </c>
      <c r="D524" t="s">
        <v>24</v>
      </c>
      <c r="E524">
        <v>2024</v>
      </c>
      <c r="F524" t="s">
        <v>15</v>
      </c>
      <c r="G524" t="s">
        <v>238</v>
      </c>
      <c r="H524">
        <v>22249870</v>
      </c>
      <c r="J524">
        <v>1</v>
      </c>
    </row>
    <row r="525" spans="1:11">
      <c r="A525" t="s">
        <v>983</v>
      </c>
      <c r="B525" t="str">
        <f t="shared" si="8"/>
        <v>Wikirate International e.V.+Archive of non-financial reportsTh√ºga Holding</v>
      </c>
      <c r="C525" t="s">
        <v>901</v>
      </c>
      <c r="D525" t="s">
        <v>20</v>
      </c>
      <c r="E525">
        <v>2024</v>
      </c>
      <c r="F525" t="s">
        <v>15</v>
      </c>
      <c r="G525" t="s">
        <v>984</v>
      </c>
      <c r="H525">
        <v>22250740</v>
      </c>
      <c r="J525">
        <v>3</v>
      </c>
      <c r="K525" t="s">
        <v>985</v>
      </c>
    </row>
    <row r="526" spans="1:11">
      <c r="A526" t="s">
        <v>986</v>
      </c>
      <c r="B526" t="str">
        <f t="shared" si="8"/>
        <v>Wikirate International e.V.+Aligned page numberingMercedes-Benz AG</v>
      </c>
      <c r="C526" t="s">
        <v>987</v>
      </c>
      <c r="D526" t="s">
        <v>102</v>
      </c>
      <c r="E526">
        <v>2024</v>
      </c>
      <c r="F526" t="s">
        <v>15</v>
      </c>
      <c r="G526" t="s">
        <v>249</v>
      </c>
      <c r="H526">
        <v>22197714</v>
      </c>
      <c r="I526" t="s">
        <v>250</v>
      </c>
      <c r="J526">
        <v>1</v>
      </c>
    </row>
    <row r="527" spans="1:11">
      <c r="A527" t="s">
        <v>988</v>
      </c>
      <c r="B527" t="str">
        <f t="shared" si="8"/>
        <v>Wikirate International e.V.+Aligned page numberingVolkswagen AG</v>
      </c>
      <c r="C527" t="s">
        <v>987</v>
      </c>
      <c r="D527" t="s">
        <v>112</v>
      </c>
      <c r="E527">
        <v>2024</v>
      </c>
      <c r="F527" t="s">
        <v>21</v>
      </c>
      <c r="G527" t="s">
        <v>342</v>
      </c>
      <c r="H527">
        <v>22197872</v>
      </c>
      <c r="I527" t="s">
        <v>343</v>
      </c>
      <c r="J527">
        <v>1</v>
      </c>
    </row>
    <row r="528" spans="1:11">
      <c r="A528" t="s">
        <v>989</v>
      </c>
      <c r="B528" t="str">
        <f t="shared" si="8"/>
        <v>Wikirate International e.V.+Aligned page numberingBMW AG</v>
      </c>
      <c r="C528" t="s">
        <v>987</v>
      </c>
      <c r="D528" t="s">
        <v>92</v>
      </c>
      <c r="E528">
        <v>2024</v>
      </c>
      <c r="F528" t="s">
        <v>15</v>
      </c>
      <c r="G528" t="s">
        <v>329</v>
      </c>
      <c r="H528">
        <v>22204344</v>
      </c>
      <c r="I528" t="s">
        <v>330</v>
      </c>
      <c r="J528">
        <v>1</v>
      </c>
    </row>
    <row r="529" spans="1:11">
      <c r="A529" t="s">
        <v>990</v>
      </c>
      <c r="B529" t="str">
        <f t="shared" si="8"/>
        <v>Wikirate International e.V.+Aligned page numberingJenoptik AG</v>
      </c>
      <c r="C529" t="s">
        <v>987</v>
      </c>
      <c r="D529" t="s">
        <v>123</v>
      </c>
      <c r="E529">
        <v>2024</v>
      </c>
      <c r="F529" t="s">
        <v>15</v>
      </c>
      <c r="G529" t="s">
        <v>261</v>
      </c>
      <c r="H529">
        <v>22205722</v>
      </c>
      <c r="J529">
        <v>1</v>
      </c>
    </row>
    <row r="530" spans="1:11">
      <c r="A530" t="s">
        <v>991</v>
      </c>
      <c r="B530" t="str">
        <f t="shared" si="8"/>
        <v>Wikirate International e.V.+Aligned page numberingContinental AG</v>
      </c>
      <c r="C530" t="s">
        <v>987</v>
      </c>
      <c r="D530" t="s">
        <v>126</v>
      </c>
      <c r="E530">
        <v>2024</v>
      </c>
      <c r="F530" t="s">
        <v>21</v>
      </c>
      <c r="G530" t="s">
        <v>353</v>
      </c>
      <c r="H530">
        <v>22205746</v>
      </c>
      <c r="I530" t="s">
        <v>354</v>
      </c>
      <c r="J530">
        <v>1</v>
      </c>
      <c r="K530" t="s">
        <v>992</v>
      </c>
    </row>
    <row r="531" spans="1:11">
      <c r="A531" t="s">
        <v>993</v>
      </c>
      <c r="B531" t="str">
        <f t="shared" si="8"/>
        <v>Wikirate International e.V.+Aligned page numberingHelm AG</v>
      </c>
      <c r="C531" t="s">
        <v>987</v>
      </c>
      <c r="D531" t="s">
        <v>132</v>
      </c>
      <c r="E531">
        <v>2024</v>
      </c>
      <c r="F531" t="s">
        <v>21</v>
      </c>
      <c r="G531" t="s">
        <v>268</v>
      </c>
      <c r="H531">
        <v>22205886</v>
      </c>
      <c r="J531">
        <v>1</v>
      </c>
      <c r="K531" t="s">
        <v>994</v>
      </c>
    </row>
    <row r="532" spans="1:11">
      <c r="A532" t="s">
        <v>995</v>
      </c>
      <c r="B532" t="str">
        <f t="shared" si="8"/>
        <v>Wikirate International e.V.+Aligned page numberingThyssenKrupp Group</v>
      </c>
      <c r="C532" t="s">
        <v>987</v>
      </c>
      <c r="D532" t="s">
        <v>129</v>
      </c>
      <c r="E532">
        <v>2024</v>
      </c>
      <c r="F532" t="s">
        <v>15</v>
      </c>
      <c r="G532" t="s">
        <v>265</v>
      </c>
      <c r="H532">
        <v>22206264</v>
      </c>
      <c r="I532" t="s">
        <v>266</v>
      </c>
      <c r="J532">
        <v>1</v>
      </c>
    </row>
    <row r="533" spans="1:11">
      <c r="A533" t="s">
        <v>996</v>
      </c>
      <c r="B533" t="str">
        <f t="shared" si="8"/>
        <v>Wikirate International e.V.+Aligned page numberingSiemens AG</v>
      </c>
      <c r="C533" t="s">
        <v>987</v>
      </c>
      <c r="D533" t="s">
        <v>148</v>
      </c>
      <c r="E533">
        <v>2024</v>
      </c>
      <c r="F533" t="s">
        <v>15</v>
      </c>
      <c r="G533" t="s">
        <v>270</v>
      </c>
      <c r="H533">
        <v>22206439</v>
      </c>
      <c r="J533">
        <v>1</v>
      </c>
    </row>
    <row r="534" spans="1:11">
      <c r="A534" t="s">
        <v>997</v>
      </c>
      <c r="B534" t="str">
        <f t="shared" si="8"/>
        <v>Wikirate International e.V.+Aligned page numberingGEA Group</v>
      </c>
      <c r="C534" t="s">
        <v>987</v>
      </c>
      <c r="D534" t="s">
        <v>135</v>
      </c>
      <c r="E534">
        <v>2024</v>
      </c>
      <c r="F534" t="s">
        <v>15</v>
      </c>
      <c r="G534" t="s">
        <v>360</v>
      </c>
      <c r="H534">
        <v>22207020</v>
      </c>
      <c r="J534">
        <v>1</v>
      </c>
      <c r="K534" t="s">
        <v>998</v>
      </c>
    </row>
    <row r="535" spans="1:11">
      <c r="A535" t="s">
        <v>999</v>
      </c>
      <c r="B535" t="str">
        <f t="shared" si="8"/>
        <v>Wikirate International e.V.+Aligned page numberingSchaeffler Technologies</v>
      </c>
      <c r="C535" t="s">
        <v>987</v>
      </c>
      <c r="D535" t="s">
        <v>1618</v>
      </c>
      <c r="E535">
        <v>2024</v>
      </c>
      <c r="F535" t="s">
        <v>21</v>
      </c>
      <c r="G535" t="s">
        <v>281</v>
      </c>
      <c r="H535">
        <v>22207089</v>
      </c>
      <c r="J535">
        <v>1</v>
      </c>
    </row>
    <row r="536" spans="1:11">
      <c r="A536" t="s">
        <v>1000</v>
      </c>
      <c r="B536" t="str">
        <f t="shared" si="8"/>
        <v>Wikirate International e.V.+Aligned page numberingRobert Bosch GmbH</v>
      </c>
      <c r="C536" t="s">
        <v>987</v>
      </c>
      <c r="D536" t="s">
        <v>138</v>
      </c>
      <c r="E536">
        <v>2024</v>
      </c>
      <c r="F536" t="s">
        <v>15</v>
      </c>
      <c r="G536" t="s">
        <v>273</v>
      </c>
      <c r="H536">
        <v>22208576</v>
      </c>
      <c r="I536" t="s">
        <v>274</v>
      </c>
      <c r="J536">
        <v>1</v>
      </c>
    </row>
    <row r="537" spans="1:11">
      <c r="A537" t="s">
        <v>1001</v>
      </c>
      <c r="B537" t="str">
        <f t="shared" si="8"/>
        <v>Wikirate International e.V.+Aligned page numberingMahle GmbH</v>
      </c>
      <c r="C537" t="s">
        <v>987</v>
      </c>
      <c r="D537" t="s">
        <v>142</v>
      </c>
      <c r="E537">
        <v>2024</v>
      </c>
      <c r="F537" t="s">
        <v>15</v>
      </c>
      <c r="G537" t="s">
        <v>276</v>
      </c>
      <c r="H537">
        <v>22208706</v>
      </c>
      <c r="J537">
        <v>1</v>
      </c>
    </row>
    <row r="538" spans="1:11">
      <c r="A538" t="s">
        <v>1002</v>
      </c>
      <c r="B538" t="str">
        <f t="shared" si="8"/>
        <v>Wikirate International e.V.+Aligned page numberingVoith</v>
      </c>
      <c r="C538" t="s">
        <v>987</v>
      </c>
      <c r="D538" t="s">
        <v>145</v>
      </c>
      <c r="E538">
        <v>2024</v>
      </c>
      <c r="F538" t="s">
        <v>15</v>
      </c>
      <c r="G538" t="s">
        <v>278</v>
      </c>
      <c r="H538">
        <v>22208984</v>
      </c>
      <c r="I538" t="s">
        <v>279</v>
      </c>
      <c r="J538">
        <v>1</v>
      </c>
    </row>
    <row r="539" spans="1:11">
      <c r="A539" t="s">
        <v>1003</v>
      </c>
      <c r="B539" t="str">
        <f t="shared" si="8"/>
        <v>Wikirate International e.V.+Aligned page numberingZF Friedrichshafen</v>
      </c>
      <c r="C539" t="s">
        <v>987</v>
      </c>
      <c r="D539" t="s">
        <v>152</v>
      </c>
      <c r="E539">
        <v>2024</v>
      </c>
      <c r="F539" t="s">
        <v>15</v>
      </c>
      <c r="G539" t="s">
        <v>283</v>
      </c>
      <c r="H539">
        <v>22209256</v>
      </c>
      <c r="J539">
        <v>1</v>
      </c>
    </row>
    <row r="540" spans="1:11">
      <c r="A540" t="s">
        <v>1004</v>
      </c>
      <c r="B540" t="str">
        <f t="shared" si="8"/>
        <v>Wikirate International e.V.+Aligned page numberingJungheinrich AG</v>
      </c>
      <c r="C540" t="s">
        <v>987</v>
      </c>
      <c r="D540" t="s">
        <v>155</v>
      </c>
      <c r="E540">
        <v>2024</v>
      </c>
      <c r="F540" t="s">
        <v>21</v>
      </c>
      <c r="G540" t="s">
        <v>285</v>
      </c>
      <c r="H540">
        <v>22209376</v>
      </c>
      <c r="J540">
        <v>1</v>
      </c>
      <c r="K540" t="s">
        <v>1005</v>
      </c>
    </row>
    <row r="541" spans="1:11">
      <c r="A541" t="s">
        <v>1006</v>
      </c>
      <c r="B541" t="str">
        <f t="shared" si="8"/>
        <v>Wikirate International e.V.+Aligned page numberingLanxess</v>
      </c>
      <c r="C541" t="s">
        <v>987</v>
      </c>
      <c r="D541" t="s">
        <v>194</v>
      </c>
      <c r="E541">
        <v>2024</v>
      </c>
      <c r="F541" t="s">
        <v>21</v>
      </c>
      <c r="G541" t="s">
        <v>287</v>
      </c>
      <c r="H541">
        <v>22209467</v>
      </c>
      <c r="J541">
        <v>1</v>
      </c>
    </row>
    <row r="542" spans="1:11">
      <c r="A542" t="s">
        <v>1007</v>
      </c>
      <c r="B542" t="str">
        <f t="shared" si="8"/>
        <v>Wikirate International e.V.+Aligned page numberingD√ºrr Group</v>
      </c>
      <c r="C542" t="s">
        <v>987</v>
      </c>
      <c r="D542" t="s">
        <v>191</v>
      </c>
      <c r="E542">
        <v>2024</v>
      </c>
      <c r="F542" t="s">
        <v>15</v>
      </c>
      <c r="G542" t="s">
        <v>299</v>
      </c>
      <c r="H542">
        <v>22210522</v>
      </c>
      <c r="I542" t="s">
        <v>300</v>
      </c>
      <c r="J542">
        <v>1</v>
      </c>
      <c r="K542" t="s">
        <v>1008</v>
      </c>
    </row>
    <row r="543" spans="1:11">
      <c r="A543" t="s">
        <v>1009</v>
      </c>
      <c r="B543" t="str">
        <f t="shared" si="8"/>
        <v>Wikirate International e.V.+Aligned page numberingDaimler Truck AG</v>
      </c>
      <c r="C543" t="s">
        <v>987</v>
      </c>
      <c r="D543" t="s">
        <v>118</v>
      </c>
      <c r="E543">
        <v>2024</v>
      </c>
      <c r="F543" t="s">
        <v>15</v>
      </c>
      <c r="G543" t="s">
        <v>119</v>
      </c>
      <c r="H543">
        <v>22210616</v>
      </c>
      <c r="I543" t="s">
        <v>120</v>
      </c>
      <c r="J543">
        <v>1</v>
      </c>
      <c r="K543" t="s">
        <v>1010</v>
      </c>
    </row>
    <row r="544" spans="1:11">
      <c r="A544" t="s">
        <v>1011</v>
      </c>
      <c r="B544" t="str">
        <f t="shared" si="8"/>
        <v>Wikirate International e.V.+Aligned page numberingCovestro</v>
      </c>
      <c r="C544" t="s">
        <v>987</v>
      </c>
      <c r="D544" t="s">
        <v>164</v>
      </c>
      <c r="E544">
        <v>2024</v>
      </c>
      <c r="F544" t="s">
        <v>21</v>
      </c>
      <c r="G544" t="s">
        <v>289</v>
      </c>
      <c r="H544">
        <v>22211050</v>
      </c>
      <c r="I544" t="s">
        <v>290</v>
      </c>
      <c r="J544">
        <v>1</v>
      </c>
      <c r="K544" t="s">
        <v>1592</v>
      </c>
    </row>
    <row r="545" spans="1:11">
      <c r="A545" t="s">
        <v>1012</v>
      </c>
      <c r="B545" t="str">
        <f t="shared" si="8"/>
        <v>Wikirate International e.V.+Aligned page numberingKrones AG</v>
      </c>
      <c r="C545" t="s">
        <v>987</v>
      </c>
      <c r="D545" t="s">
        <v>168</v>
      </c>
      <c r="E545">
        <v>2024</v>
      </c>
      <c r="F545" t="s">
        <v>21</v>
      </c>
      <c r="G545" t="s">
        <v>371</v>
      </c>
      <c r="H545">
        <v>22211576</v>
      </c>
      <c r="J545">
        <v>1</v>
      </c>
      <c r="K545" t="s">
        <v>1013</v>
      </c>
    </row>
    <row r="546" spans="1:11">
      <c r="A546" t="s">
        <v>1014</v>
      </c>
      <c r="B546" t="str">
        <f t="shared" si="8"/>
        <v>Wikirate International e.V.+Aligned page numberingHenkel AG &amp; Co. KGaA</v>
      </c>
      <c r="C546" t="s">
        <v>987</v>
      </c>
      <c r="D546" t="s">
        <v>172</v>
      </c>
      <c r="E546">
        <v>2024</v>
      </c>
      <c r="F546" t="s">
        <v>15</v>
      </c>
      <c r="G546" t="s">
        <v>374</v>
      </c>
      <c r="H546">
        <v>22211707</v>
      </c>
      <c r="I546" t="s">
        <v>375</v>
      </c>
      <c r="J546">
        <v>1</v>
      </c>
    </row>
    <row r="547" spans="1:11">
      <c r="A547" t="s">
        <v>1015</v>
      </c>
      <c r="B547" t="str">
        <f t="shared" si="8"/>
        <v>Wikirate International e.V.+Aligned page numberingEnBW-Energie Baden-Wuerttemberg</v>
      </c>
      <c r="C547" t="s">
        <v>987</v>
      </c>
      <c r="D547" t="s">
        <v>177</v>
      </c>
      <c r="E547">
        <v>2024</v>
      </c>
      <c r="F547" t="s">
        <v>21</v>
      </c>
      <c r="G547" t="s">
        <v>377</v>
      </c>
      <c r="H547">
        <v>22218179</v>
      </c>
      <c r="J547">
        <v>1</v>
      </c>
      <c r="K547" t="s">
        <v>1016</v>
      </c>
    </row>
    <row r="548" spans="1:11">
      <c r="A548" t="s">
        <v>1017</v>
      </c>
      <c r="B548" t="str">
        <f t="shared" si="8"/>
        <v>Wikirate International e.V.+Aligned page numberingHensoldt AG</v>
      </c>
      <c r="C548" t="s">
        <v>987</v>
      </c>
      <c r="D548" t="s">
        <v>208</v>
      </c>
      <c r="E548">
        <v>2024</v>
      </c>
      <c r="F548" t="s">
        <v>15</v>
      </c>
      <c r="G548" t="s">
        <v>297</v>
      </c>
      <c r="H548">
        <v>22218334</v>
      </c>
      <c r="J548">
        <v>1</v>
      </c>
    </row>
    <row r="549" spans="1:11">
      <c r="A549" t="s">
        <v>1018</v>
      </c>
      <c r="B549" t="str">
        <f t="shared" si="8"/>
        <v>Wikirate International e.V.+Aligned page numberingBASF SE</v>
      </c>
      <c r="C549" t="s">
        <v>987</v>
      </c>
      <c r="D549" t="s">
        <v>108</v>
      </c>
      <c r="E549">
        <v>2024</v>
      </c>
      <c r="F549" t="s">
        <v>15</v>
      </c>
      <c r="G549" t="s">
        <v>339</v>
      </c>
      <c r="H549">
        <v>22218543</v>
      </c>
      <c r="I549" t="s">
        <v>340</v>
      </c>
      <c r="J549">
        <v>1</v>
      </c>
    </row>
    <row r="550" spans="1:11">
      <c r="A550" t="s">
        <v>1019</v>
      </c>
      <c r="B550" t="str">
        <f t="shared" si="8"/>
        <v>Wikirate International e.V.+Aligned page numberingHELLA GMBH &amp; CO. KGAA</v>
      </c>
      <c r="C550" t="s">
        <v>987</v>
      </c>
      <c r="D550" t="s">
        <v>187</v>
      </c>
      <c r="E550">
        <v>2024</v>
      </c>
      <c r="F550" t="s">
        <v>15</v>
      </c>
      <c r="G550" t="s">
        <v>384</v>
      </c>
      <c r="H550">
        <v>22218829</v>
      </c>
      <c r="J550">
        <v>1</v>
      </c>
    </row>
    <row r="551" spans="1:11">
      <c r="A551" t="s">
        <v>1020</v>
      </c>
      <c r="B551" t="str">
        <f t="shared" si="8"/>
        <v>Wikirate International e.V.+Aligned page numberingDeere &amp; Co</v>
      </c>
      <c r="C551" t="s">
        <v>987</v>
      </c>
      <c r="D551" t="s">
        <v>197</v>
      </c>
      <c r="E551">
        <v>2024</v>
      </c>
      <c r="F551" t="s">
        <v>15</v>
      </c>
      <c r="G551" t="s">
        <v>303</v>
      </c>
      <c r="H551">
        <v>22218929</v>
      </c>
      <c r="J551">
        <v>1</v>
      </c>
    </row>
    <row r="552" spans="1:11">
      <c r="A552" t="s">
        <v>1021</v>
      </c>
      <c r="B552" t="str">
        <f t="shared" si="8"/>
        <v>Wikirate International e.V.+Aligned page numberingAmprion GmbH</v>
      </c>
      <c r="C552" t="s">
        <v>987</v>
      </c>
      <c r="D552" t="s">
        <v>182</v>
      </c>
      <c r="E552">
        <v>2024</v>
      </c>
      <c r="F552" t="s">
        <v>21</v>
      </c>
      <c r="G552" t="s">
        <v>389</v>
      </c>
      <c r="H552">
        <v>22219006</v>
      </c>
      <c r="J552">
        <v>1</v>
      </c>
    </row>
    <row r="553" spans="1:11">
      <c r="A553" t="s">
        <v>1022</v>
      </c>
      <c r="B553" t="str">
        <f t="shared" si="8"/>
        <v>Wikirate International e.V.+Aligned page numberingBoehringer Ingelheim GmbH</v>
      </c>
      <c r="C553" t="s">
        <v>987</v>
      </c>
      <c r="D553" t="s">
        <v>201</v>
      </c>
      <c r="E553">
        <v>2024</v>
      </c>
      <c r="F553" t="s">
        <v>15</v>
      </c>
      <c r="G553" t="s">
        <v>306</v>
      </c>
      <c r="H553">
        <v>22219128</v>
      </c>
      <c r="J553">
        <v>1</v>
      </c>
    </row>
    <row r="554" spans="1:11">
      <c r="A554" t="s">
        <v>1023</v>
      </c>
      <c r="B554" t="str">
        <f t="shared" si="8"/>
        <v>Wikirate International e.V.+Aligned page numberingBayer AG</v>
      </c>
      <c r="C554" t="s">
        <v>987</v>
      </c>
      <c r="D554" t="s">
        <v>87</v>
      </c>
      <c r="E554">
        <v>2024</v>
      </c>
      <c r="F554" t="s">
        <v>15</v>
      </c>
      <c r="G554" t="s">
        <v>88</v>
      </c>
      <c r="H554">
        <v>22219171</v>
      </c>
      <c r="J554">
        <v>1</v>
      </c>
    </row>
    <row r="555" spans="1:11">
      <c r="A555" t="s">
        <v>1024</v>
      </c>
      <c r="B555" t="str">
        <f t="shared" si="8"/>
        <v>Wikirate International e.V.+Aligned page numberingRWE Group</v>
      </c>
      <c r="C555" t="s">
        <v>987</v>
      </c>
      <c r="D555" t="s">
        <v>14</v>
      </c>
      <c r="E555">
        <v>2024</v>
      </c>
      <c r="F555" t="s">
        <v>15</v>
      </c>
      <c r="G555" t="s">
        <v>16</v>
      </c>
      <c r="H555">
        <v>22219302</v>
      </c>
      <c r="I555" t="s">
        <v>17</v>
      </c>
      <c r="J555">
        <v>1</v>
      </c>
    </row>
    <row r="556" spans="1:11">
      <c r="A556" t="s">
        <v>1025</v>
      </c>
      <c r="B556" t="str">
        <f t="shared" si="8"/>
        <v>Wikirate International e.V.+Aligned page numberingRheinmetall AG</v>
      </c>
      <c r="C556" t="s">
        <v>987</v>
      </c>
      <c r="D556" t="s">
        <v>79</v>
      </c>
      <c r="E556">
        <v>2024</v>
      </c>
      <c r="F556" t="s">
        <v>15</v>
      </c>
      <c r="G556" t="s">
        <v>80</v>
      </c>
      <c r="H556">
        <v>22219717</v>
      </c>
      <c r="J556">
        <v>1</v>
      </c>
    </row>
    <row r="557" spans="1:11">
      <c r="A557" t="s">
        <v>1026</v>
      </c>
      <c r="B557" t="str">
        <f t="shared" si="8"/>
        <v>Wikirate International e.V.+Aligned page numberingUniper SE</v>
      </c>
      <c r="C557" t="s">
        <v>987</v>
      </c>
      <c r="D557" t="s">
        <v>83</v>
      </c>
      <c r="E557">
        <v>2024</v>
      </c>
      <c r="F557" t="s">
        <v>21</v>
      </c>
      <c r="G557" t="s">
        <v>84</v>
      </c>
      <c r="H557">
        <v>22219762</v>
      </c>
      <c r="J557">
        <v>1</v>
      </c>
    </row>
    <row r="558" spans="1:11">
      <c r="A558" t="s">
        <v>1027</v>
      </c>
      <c r="B558" t="str">
        <f t="shared" si="8"/>
        <v>Wikirate International e.V.+Aligned page numberingAirbus Group</v>
      </c>
      <c r="C558" t="s">
        <v>987</v>
      </c>
      <c r="D558" t="s">
        <v>74</v>
      </c>
      <c r="E558">
        <v>2024</v>
      </c>
      <c r="F558" t="s">
        <v>21</v>
      </c>
      <c r="G558" t="s">
        <v>75</v>
      </c>
      <c r="H558">
        <v>22245862</v>
      </c>
      <c r="I558" t="s">
        <v>76</v>
      </c>
      <c r="J558">
        <v>1</v>
      </c>
    </row>
    <row r="559" spans="1:11">
      <c r="A559" t="s">
        <v>1028</v>
      </c>
      <c r="B559" t="str">
        <f t="shared" si="8"/>
        <v>Wikirate International e.V.+Aligned page numberingSiemens Energy AG</v>
      </c>
      <c r="C559" t="s">
        <v>987</v>
      </c>
      <c r="D559" t="s">
        <v>71</v>
      </c>
      <c r="E559">
        <v>2024</v>
      </c>
      <c r="F559" t="s">
        <v>15</v>
      </c>
      <c r="G559" t="s">
        <v>72</v>
      </c>
      <c r="H559">
        <v>22246020</v>
      </c>
      <c r="J559">
        <v>1</v>
      </c>
    </row>
    <row r="560" spans="1:11">
      <c r="A560" t="s">
        <v>1029</v>
      </c>
      <c r="B560" t="str">
        <f t="shared" si="8"/>
        <v>Wikirate International e.V.+Aligned page numbering50Hertz Transmission</v>
      </c>
      <c r="C560" t="s">
        <v>987</v>
      </c>
      <c r="D560" t="s">
        <v>68</v>
      </c>
      <c r="E560">
        <v>2024</v>
      </c>
      <c r="F560" t="s">
        <v>21</v>
      </c>
      <c r="G560" t="s">
        <v>69</v>
      </c>
      <c r="H560">
        <v>22246110</v>
      </c>
      <c r="J560">
        <v>1</v>
      </c>
    </row>
    <row r="561" spans="1:11">
      <c r="A561" t="s">
        <v>1030</v>
      </c>
      <c r="B561" t="str">
        <f t="shared" si="8"/>
        <v>Wikirate International e.V.+Aligned page numberingKION Group</v>
      </c>
      <c r="C561" t="s">
        <v>987</v>
      </c>
      <c r="D561" t="s">
        <v>65</v>
      </c>
      <c r="E561">
        <v>2024</v>
      </c>
      <c r="F561" t="s">
        <v>15</v>
      </c>
      <c r="G561" t="s">
        <v>66</v>
      </c>
      <c r="H561">
        <v>22246271</v>
      </c>
      <c r="J561">
        <v>1</v>
      </c>
    </row>
    <row r="562" spans="1:11">
      <c r="A562" t="s">
        <v>1031</v>
      </c>
      <c r="B562" t="str">
        <f t="shared" si="8"/>
        <v>Wikirate International e.V.+Aligned page numberingStadtwerke Munchen GmbH</v>
      </c>
      <c r="C562" t="s">
        <v>987</v>
      </c>
      <c r="D562" t="s">
        <v>61</v>
      </c>
      <c r="E562">
        <v>2024</v>
      </c>
      <c r="F562" t="s">
        <v>21</v>
      </c>
      <c r="G562" t="s">
        <v>62</v>
      </c>
      <c r="H562">
        <v>22246382</v>
      </c>
      <c r="J562">
        <v>1</v>
      </c>
    </row>
    <row r="563" spans="1:11">
      <c r="A563" t="s">
        <v>1032</v>
      </c>
      <c r="B563" t="str">
        <f t="shared" si="8"/>
        <v>Wikirate International e.V.+Aligned page numberingE.ON SE</v>
      </c>
      <c r="C563" t="s">
        <v>987</v>
      </c>
      <c r="D563" t="s">
        <v>57</v>
      </c>
      <c r="E563">
        <v>2024</v>
      </c>
      <c r="F563" t="s">
        <v>15</v>
      </c>
      <c r="G563" t="s">
        <v>58</v>
      </c>
      <c r="H563">
        <v>22246409</v>
      </c>
      <c r="J563">
        <v>1</v>
      </c>
      <c r="K563" t="s">
        <v>1033</v>
      </c>
    </row>
    <row r="564" spans="1:11">
      <c r="A564" t="s">
        <v>1034</v>
      </c>
      <c r="B564" t="str">
        <f t="shared" si="8"/>
        <v>Wikirate International e.V.+Aligned page numberingLockheed Martin</v>
      </c>
      <c r="C564" t="s">
        <v>987</v>
      </c>
      <c r="D564" t="s">
        <v>38</v>
      </c>
      <c r="E564">
        <v>2024</v>
      </c>
      <c r="F564" t="s">
        <v>15</v>
      </c>
      <c r="G564" t="s">
        <v>39</v>
      </c>
      <c r="H564">
        <v>22246536</v>
      </c>
      <c r="J564">
        <v>1</v>
      </c>
    </row>
    <row r="565" spans="1:11">
      <c r="A565" t="s">
        <v>1035</v>
      </c>
      <c r="B565" t="str">
        <f t="shared" si="8"/>
        <v>Wikirate International e.V.+Aligned page numberingDiehl Stiftung &amp; Co. KG</v>
      </c>
      <c r="C565" t="s">
        <v>987</v>
      </c>
      <c r="D565" t="s">
        <v>53</v>
      </c>
      <c r="E565">
        <v>2024</v>
      </c>
      <c r="F565" t="s">
        <v>15</v>
      </c>
      <c r="G565" t="s">
        <v>54</v>
      </c>
      <c r="H565">
        <v>22246630</v>
      </c>
      <c r="J565">
        <v>1</v>
      </c>
    </row>
    <row r="566" spans="1:11">
      <c r="A566" t="s">
        <v>1036</v>
      </c>
      <c r="B566" t="str">
        <f t="shared" si="8"/>
        <v>Wikirate International e.V.+Aligned page numberingMerck KGaA</v>
      </c>
      <c r="C566" t="s">
        <v>987</v>
      </c>
      <c r="D566" t="s">
        <v>49</v>
      </c>
      <c r="E566">
        <v>2024</v>
      </c>
      <c r="F566" t="s">
        <v>15</v>
      </c>
      <c r="G566" t="s">
        <v>50</v>
      </c>
      <c r="H566">
        <v>22246766</v>
      </c>
      <c r="J566">
        <v>1</v>
      </c>
    </row>
    <row r="567" spans="1:11">
      <c r="A567" t="s">
        <v>1037</v>
      </c>
      <c r="B567" t="str">
        <f t="shared" si="8"/>
        <v>Wikirate International e.V.+Aligned page numberingEvonik</v>
      </c>
      <c r="C567" t="s">
        <v>987</v>
      </c>
      <c r="D567" t="s">
        <v>45</v>
      </c>
      <c r="E567">
        <v>2024</v>
      </c>
      <c r="F567" t="s">
        <v>21</v>
      </c>
      <c r="G567" t="s">
        <v>46</v>
      </c>
      <c r="H567">
        <v>22246890</v>
      </c>
      <c r="J567">
        <v>1</v>
      </c>
    </row>
    <row r="568" spans="1:11">
      <c r="A568" t="s">
        <v>1038</v>
      </c>
      <c r="B568" t="str">
        <f t="shared" si="8"/>
        <v>Wikirate International e.V.+Aligned page numberingKNDS Group</v>
      </c>
      <c r="C568" t="s">
        <v>987</v>
      </c>
      <c r="D568" t="s">
        <v>42</v>
      </c>
      <c r="E568">
        <v>2024</v>
      </c>
      <c r="F568" t="s">
        <v>21</v>
      </c>
      <c r="G568" t="s">
        <v>43</v>
      </c>
      <c r="H568">
        <v>22247015</v>
      </c>
      <c r="J568">
        <v>1</v>
      </c>
    </row>
    <row r="569" spans="1:11">
      <c r="A569" t="s">
        <v>1039</v>
      </c>
      <c r="B569" t="str">
        <f t="shared" si="8"/>
        <v>Wikirate International e.V.+Aligned page numberingLeonardo</v>
      </c>
      <c r="C569" t="s">
        <v>987</v>
      </c>
      <c r="D569" t="s">
        <v>33</v>
      </c>
      <c r="E569">
        <v>2024</v>
      </c>
      <c r="F569" t="s">
        <v>21</v>
      </c>
      <c r="G569" t="s">
        <v>34</v>
      </c>
      <c r="H569">
        <v>22247201</v>
      </c>
      <c r="I569" t="s">
        <v>35</v>
      </c>
      <c r="J569">
        <v>1</v>
      </c>
      <c r="K569" t="s">
        <v>1593</v>
      </c>
    </row>
    <row r="570" spans="1:11">
      <c r="A570" t="s">
        <v>1040</v>
      </c>
      <c r="B570" t="str">
        <f t="shared" si="8"/>
        <v>Wikirate International e.V.+Aligned page numberingGelsenwasser</v>
      </c>
      <c r="C570" t="s">
        <v>987</v>
      </c>
      <c r="D570" t="s">
        <v>29</v>
      </c>
      <c r="E570">
        <v>2024</v>
      </c>
      <c r="F570" t="s">
        <v>15</v>
      </c>
      <c r="G570" t="s">
        <v>30</v>
      </c>
      <c r="H570">
        <v>22247799</v>
      </c>
      <c r="J570">
        <v>1</v>
      </c>
    </row>
    <row r="571" spans="1:11">
      <c r="A571" t="s">
        <v>1041</v>
      </c>
      <c r="B571" t="str">
        <f t="shared" si="8"/>
        <v>Wikirate International e.V.+Aligned page numberingWacker Chemie</v>
      </c>
      <c r="C571" t="s">
        <v>987</v>
      </c>
      <c r="D571" t="s">
        <v>24</v>
      </c>
      <c r="E571">
        <v>2024</v>
      </c>
      <c r="F571" t="s">
        <v>15</v>
      </c>
      <c r="G571" t="s">
        <v>25</v>
      </c>
      <c r="H571">
        <v>22249903</v>
      </c>
      <c r="I571" t="s">
        <v>26</v>
      </c>
      <c r="J571">
        <v>1</v>
      </c>
    </row>
    <row r="572" spans="1:11">
      <c r="A572" t="s">
        <v>1042</v>
      </c>
      <c r="B572" t="str">
        <f t="shared" si="8"/>
        <v>Wikirate International e.V.+Aligned page numberingTh√ºga Holding</v>
      </c>
      <c r="C572" t="s">
        <v>987</v>
      </c>
      <c r="D572" t="s">
        <v>20</v>
      </c>
      <c r="E572">
        <v>2024</v>
      </c>
      <c r="F572" t="s">
        <v>15</v>
      </c>
      <c r="G572" t="s">
        <v>1531</v>
      </c>
      <c r="H572">
        <v>22250776</v>
      </c>
      <c r="J572">
        <v>1</v>
      </c>
      <c r="K572" t="s">
        <v>1594</v>
      </c>
    </row>
    <row r="573" spans="1:11">
      <c r="A573" t="s">
        <v>1043</v>
      </c>
      <c r="B573" t="str">
        <f t="shared" si="8"/>
        <v>Wikirate International e.V.+Reporting standardsMercedes-Benz AG</v>
      </c>
      <c r="C573" t="s">
        <v>1044</v>
      </c>
      <c r="D573" t="s">
        <v>102</v>
      </c>
      <c r="E573">
        <v>2024</v>
      </c>
      <c r="F573" t="s">
        <v>1045</v>
      </c>
      <c r="G573" t="s">
        <v>249</v>
      </c>
      <c r="H573">
        <v>22197719</v>
      </c>
      <c r="I573" t="s">
        <v>250</v>
      </c>
      <c r="J573">
        <v>1</v>
      </c>
      <c r="K573" t="s">
        <v>1046</v>
      </c>
    </row>
    <row r="574" spans="1:11">
      <c r="A574" t="s">
        <v>1047</v>
      </c>
      <c r="B574" t="str">
        <f t="shared" si="8"/>
        <v>Wikirate International e.V.+Reporting standardsVolkswagen AG</v>
      </c>
      <c r="C574" t="s">
        <v>1044</v>
      </c>
      <c r="D574" t="s">
        <v>112</v>
      </c>
      <c r="E574">
        <v>2024</v>
      </c>
      <c r="F574" t="s">
        <v>1694</v>
      </c>
      <c r="G574" t="s">
        <v>342</v>
      </c>
      <c r="H574">
        <v>22204183</v>
      </c>
      <c r="I574" t="s">
        <v>343</v>
      </c>
      <c r="J574">
        <v>1</v>
      </c>
      <c r="K574" t="s">
        <v>1048</v>
      </c>
    </row>
    <row r="575" spans="1:11">
      <c r="A575" t="s">
        <v>1049</v>
      </c>
      <c r="B575" t="str">
        <f t="shared" si="8"/>
        <v>Wikirate International e.V.+Reporting standardsBMW AG</v>
      </c>
      <c r="C575" t="s">
        <v>1044</v>
      </c>
      <c r="D575" t="s">
        <v>92</v>
      </c>
      <c r="E575">
        <v>2024</v>
      </c>
      <c r="F575" t="s">
        <v>1695</v>
      </c>
      <c r="G575" t="s">
        <v>329</v>
      </c>
      <c r="H575">
        <v>22204380</v>
      </c>
      <c r="I575" t="s">
        <v>330</v>
      </c>
      <c r="J575">
        <v>1</v>
      </c>
      <c r="K575" t="s">
        <v>1050</v>
      </c>
    </row>
    <row r="576" spans="1:11">
      <c r="A576" t="s">
        <v>1051</v>
      </c>
      <c r="B576" t="str">
        <f t="shared" si="8"/>
        <v>Wikirate International e.V.+Reporting standardsJenoptik AG</v>
      </c>
      <c r="C576" t="s">
        <v>1044</v>
      </c>
      <c r="D576" t="s">
        <v>123</v>
      </c>
      <c r="E576">
        <v>2024</v>
      </c>
      <c r="F576" t="s">
        <v>1052</v>
      </c>
      <c r="G576" t="s">
        <v>261</v>
      </c>
      <c r="H576">
        <v>22205727</v>
      </c>
      <c r="J576">
        <v>1</v>
      </c>
      <c r="K576" t="s">
        <v>1053</v>
      </c>
    </row>
    <row r="577" spans="1:11">
      <c r="A577" t="s">
        <v>1054</v>
      </c>
      <c r="B577" t="str">
        <f t="shared" si="8"/>
        <v>Wikirate International e.V.+Reporting standardsContinental AG</v>
      </c>
      <c r="C577" t="s">
        <v>1044</v>
      </c>
      <c r="D577" t="s">
        <v>126</v>
      </c>
      <c r="E577">
        <v>2024</v>
      </c>
      <c r="F577" t="s">
        <v>1055</v>
      </c>
      <c r="G577" t="s">
        <v>353</v>
      </c>
      <c r="H577">
        <v>22205793</v>
      </c>
      <c r="I577" t="s">
        <v>354</v>
      </c>
      <c r="J577">
        <v>1</v>
      </c>
      <c r="K577" t="s">
        <v>1056</v>
      </c>
    </row>
    <row r="578" spans="1:11">
      <c r="A578" t="s">
        <v>1057</v>
      </c>
      <c r="B578" t="str">
        <f t="shared" si="8"/>
        <v>Wikirate International e.V.+Reporting standardsHelm AG</v>
      </c>
      <c r="C578" t="s">
        <v>1044</v>
      </c>
      <c r="D578" t="s">
        <v>132</v>
      </c>
      <c r="E578">
        <v>2024</v>
      </c>
      <c r="F578" t="s">
        <v>1052</v>
      </c>
      <c r="G578" t="s">
        <v>268</v>
      </c>
      <c r="H578">
        <v>22206358</v>
      </c>
      <c r="J578">
        <v>1</v>
      </c>
      <c r="K578" t="s">
        <v>1058</v>
      </c>
    </row>
    <row r="579" spans="1:11">
      <c r="A579" t="s">
        <v>1059</v>
      </c>
      <c r="B579" t="str">
        <f t="shared" si="8"/>
        <v>Wikirate International e.V.+Reporting standardsSiemens AG</v>
      </c>
      <c r="C579" t="s">
        <v>1044</v>
      </c>
      <c r="D579" t="s">
        <v>148</v>
      </c>
      <c r="E579">
        <v>2024</v>
      </c>
      <c r="F579" t="s">
        <v>1060</v>
      </c>
      <c r="G579" t="s">
        <v>270</v>
      </c>
      <c r="H579">
        <v>22206444</v>
      </c>
      <c r="J579">
        <v>1</v>
      </c>
      <c r="K579" t="s">
        <v>1061</v>
      </c>
    </row>
    <row r="580" spans="1:11">
      <c r="A580" t="s">
        <v>1062</v>
      </c>
      <c r="B580" t="str">
        <f t="shared" si="8"/>
        <v>Wikirate International e.V.+Reporting standardsThyssenKrupp Group</v>
      </c>
      <c r="C580" t="s">
        <v>1044</v>
      </c>
      <c r="D580" t="s">
        <v>129</v>
      </c>
      <c r="E580">
        <v>2024</v>
      </c>
      <c r="F580" t="s">
        <v>1063</v>
      </c>
      <c r="G580" t="s">
        <v>265</v>
      </c>
      <c r="H580">
        <v>22206504</v>
      </c>
      <c r="I580" t="s">
        <v>266</v>
      </c>
      <c r="J580">
        <v>1</v>
      </c>
      <c r="K580" t="s">
        <v>1064</v>
      </c>
    </row>
    <row r="581" spans="1:11">
      <c r="A581" t="s">
        <v>1065</v>
      </c>
      <c r="B581" t="str">
        <f t="shared" si="8"/>
        <v>Wikirate International e.V.+Reporting standardsGEA Group</v>
      </c>
      <c r="C581" t="s">
        <v>1044</v>
      </c>
      <c r="D581" t="s">
        <v>135</v>
      </c>
      <c r="E581">
        <v>2024</v>
      </c>
      <c r="F581" t="s">
        <v>1052</v>
      </c>
      <c r="G581" t="s">
        <v>360</v>
      </c>
      <c r="H581">
        <v>22207028</v>
      </c>
      <c r="J581">
        <v>1</v>
      </c>
      <c r="K581" t="s">
        <v>1066</v>
      </c>
    </row>
    <row r="582" spans="1:11">
      <c r="A582" t="s">
        <v>1067</v>
      </c>
      <c r="B582" t="str">
        <f t="shared" si="8"/>
        <v>Wikirate International e.V.+Reporting standardsRobert Bosch GmbH</v>
      </c>
      <c r="C582" t="s">
        <v>1044</v>
      </c>
      <c r="D582" t="s">
        <v>138</v>
      </c>
      <c r="E582">
        <v>2024</v>
      </c>
      <c r="F582" t="s">
        <v>1045</v>
      </c>
      <c r="G582" t="s">
        <v>273</v>
      </c>
      <c r="H582">
        <v>22208581</v>
      </c>
      <c r="I582" t="s">
        <v>274</v>
      </c>
      <c r="J582">
        <v>1</v>
      </c>
      <c r="K582" t="s">
        <v>1068</v>
      </c>
    </row>
    <row r="583" spans="1:11">
      <c r="A583" t="s">
        <v>1069</v>
      </c>
      <c r="B583" t="str">
        <f t="shared" ref="B583:B646" si="9">C583&amp;D583</f>
        <v>Wikirate International e.V.+Reporting standardsMahle GmbH</v>
      </c>
      <c r="C583" t="s">
        <v>1044</v>
      </c>
      <c r="D583" t="s">
        <v>142</v>
      </c>
      <c r="E583">
        <v>2024</v>
      </c>
      <c r="F583" t="s">
        <v>1696</v>
      </c>
      <c r="G583" t="s">
        <v>276</v>
      </c>
      <c r="H583">
        <v>22208717</v>
      </c>
      <c r="J583">
        <v>1</v>
      </c>
      <c r="K583" t="s">
        <v>1070</v>
      </c>
    </row>
    <row r="584" spans="1:11">
      <c r="A584" t="s">
        <v>1071</v>
      </c>
      <c r="B584" t="str">
        <f t="shared" si="9"/>
        <v>Wikirate International e.V.+Reporting standardsVoith</v>
      </c>
      <c r="C584" t="s">
        <v>1044</v>
      </c>
      <c r="D584" t="s">
        <v>145</v>
      </c>
      <c r="E584">
        <v>2024</v>
      </c>
      <c r="F584" t="s">
        <v>1072</v>
      </c>
      <c r="G584" t="s">
        <v>278</v>
      </c>
      <c r="H584">
        <v>22208989</v>
      </c>
      <c r="I584" t="s">
        <v>279</v>
      </c>
      <c r="J584">
        <v>1</v>
      </c>
      <c r="K584" t="s">
        <v>1073</v>
      </c>
    </row>
    <row r="585" spans="1:11">
      <c r="A585" t="s">
        <v>1074</v>
      </c>
      <c r="B585" t="str">
        <f t="shared" si="9"/>
        <v>Wikirate International e.V.+Reporting standardsSchaeffler Technologies</v>
      </c>
      <c r="C585" t="s">
        <v>1044</v>
      </c>
      <c r="D585" t="s">
        <v>1618</v>
      </c>
      <c r="E585">
        <v>2024</v>
      </c>
      <c r="F585" t="s">
        <v>1045</v>
      </c>
      <c r="G585" t="s">
        <v>281</v>
      </c>
      <c r="H585">
        <v>22209261</v>
      </c>
      <c r="J585">
        <v>1</v>
      </c>
      <c r="K585" t="s">
        <v>1075</v>
      </c>
    </row>
    <row r="586" spans="1:11">
      <c r="A586" t="s">
        <v>1076</v>
      </c>
      <c r="B586" t="str">
        <f t="shared" si="9"/>
        <v>Wikirate International e.V.+Reporting standardsZF Friedrichshafen</v>
      </c>
      <c r="C586" t="s">
        <v>1044</v>
      </c>
      <c r="D586" t="s">
        <v>152</v>
      </c>
      <c r="E586">
        <v>2024</v>
      </c>
      <c r="F586" t="s">
        <v>1077</v>
      </c>
      <c r="G586" t="s">
        <v>283</v>
      </c>
      <c r="H586">
        <v>22209267</v>
      </c>
      <c r="J586">
        <v>1</v>
      </c>
      <c r="K586" t="s">
        <v>1078</v>
      </c>
    </row>
    <row r="587" spans="1:11">
      <c r="A587" t="s">
        <v>1079</v>
      </c>
      <c r="B587" t="str">
        <f t="shared" si="9"/>
        <v>Wikirate International e.V.+Reporting standardsJungheinrich AG</v>
      </c>
      <c r="C587" t="s">
        <v>1044</v>
      </c>
      <c r="D587" t="s">
        <v>155</v>
      </c>
      <c r="E587">
        <v>2024</v>
      </c>
      <c r="F587" t="s">
        <v>1595</v>
      </c>
      <c r="G587" t="s">
        <v>285</v>
      </c>
      <c r="H587">
        <v>22209388</v>
      </c>
      <c r="J587">
        <v>1</v>
      </c>
      <c r="K587" t="s">
        <v>1596</v>
      </c>
    </row>
    <row r="588" spans="1:11">
      <c r="A588" t="s">
        <v>1080</v>
      </c>
      <c r="B588" t="str">
        <f t="shared" si="9"/>
        <v>Wikirate International e.V.+Reporting standardsLanxess</v>
      </c>
      <c r="C588" t="s">
        <v>1044</v>
      </c>
      <c r="D588" t="s">
        <v>194</v>
      </c>
      <c r="E588">
        <v>2024</v>
      </c>
      <c r="F588" t="s">
        <v>1052</v>
      </c>
      <c r="G588" t="s">
        <v>287</v>
      </c>
      <c r="H588">
        <v>22209472</v>
      </c>
      <c r="J588">
        <v>1</v>
      </c>
      <c r="K588" t="s">
        <v>1597</v>
      </c>
    </row>
    <row r="589" spans="1:11">
      <c r="A589" t="s">
        <v>1081</v>
      </c>
      <c r="B589" t="str">
        <f t="shared" si="9"/>
        <v>Wikirate International e.V.+Reporting standardsDaimler Truck AG</v>
      </c>
      <c r="C589" t="s">
        <v>1044</v>
      </c>
      <c r="D589" t="s">
        <v>118</v>
      </c>
      <c r="E589">
        <v>2024</v>
      </c>
      <c r="F589" t="s">
        <v>1082</v>
      </c>
      <c r="G589" t="s">
        <v>119</v>
      </c>
      <c r="H589">
        <v>22210621</v>
      </c>
      <c r="I589" t="s">
        <v>120</v>
      </c>
      <c r="J589">
        <v>1</v>
      </c>
      <c r="K589" t="s">
        <v>1083</v>
      </c>
    </row>
    <row r="590" spans="1:11">
      <c r="A590" t="s">
        <v>1084</v>
      </c>
      <c r="B590" t="str">
        <f t="shared" si="9"/>
        <v>Wikirate International e.V.+Reporting standardsCovestro</v>
      </c>
      <c r="C590" t="s">
        <v>1044</v>
      </c>
      <c r="D590" t="s">
        <v>164</v>
      </c>
      <c r="E590">
        <v>2024</v>
      </c>
      <c r="F590" t="s">
        <v>1045</v>
      </c>
      <c r="G590" t="s">
        <v>289</v>
      </c>
      <c r="H590">
        <v>22211055</v>
      </c>
      <c r="I590" t="s">
        <v>290</v>
      </c>
      <c r="J590">
        <v>1</v>
      </c>
      <c r="K590" t="s">
        <v>1085</v>
      </c>
    </row>
    <row r="591" spans="1:11">
      <c r="A591" t="s">
        <v>1086</v>
      </c>
      <c r="B591" t="str">
        <f t="shared" si="9"/>
        <v>Wikirate International e.V.+Reporting standardsKrones AG</v>
      </c>
      <c r="C591" t="s">
        <v>1044</v>
      </c>
      <c r="D591" t="s">
        <v>168</v>
      </c>
      <c r="E591">
        <v>2024</v>
      </c>
      <c r="F591" t="s">
        <v>1087</v>
      </c>
      <c r="G591" t="s">
        <v>371</v>
      </c>
      <c r="H591">
        <v>22211593</v>
      </c>
      <c r="J591">
        <v>1</v>
      </c>
      <c r="K591" t="s">
        <v>1088</v>
      </c>
    </row>
    <row r="592" spans="1:11">
      <c r="A592" t="s">
        <v>1089</v>
      </c>
      <c r="B592" t="str">
        <f t="shared" si="9"/>
        <v>Wikirate International e.V.+Reporting standardsHenkel AG &amp; Co. KGaA</v>
      </c>
      <c r="C592" t="s">
        <v>1044</v>
      </c>
      <c r="D592" t="s">
        <v>172</v>
      </c>
      <c r="E592">
        <v>2024</v>
      </c>
      <c r="F592" t="s">
        <v>1090</v>
      </c>
      <c r="G592" t="s">
        <v>374</v>
      </c>
      <c r="H592">
        <v>22211711</v>
      </c>
      <c r="I592" t="s">
        <v>375</v>
      </c>
      <c r="J592">
        <v>1</v>
      </c>
      <c r="K592" t="s">
        <v>1091</v>
      </c>
    </row>
    <row r="593" spans="1:11">
      <c r="A593" t="s">
        <v>1092</v>
      </c>
      <c r="B593" t="str">
        <f t="shared" si="9"/>
        <v>Wikirate International e.V.+Reporting standardsEnBW-Energie Baden-Wuerttemberg</v>
      </c>
      <c r="C593" t="s">
        <v>1044</v>
      </c>
      <c r="D593" t="s">
        <v>177</v>
      </c>
      <c r="E593">
        <v>2024</v>
      </c>
      <c r="F593" t="s">
        <v>1055</v>
      </c>
      <c r="G593" t="s">
        <v>377</v>
      </c>
      <c r="H593">
        <v>22218183</v>
      </c>
      <c r="J593">
        <v>1</v>
      </c>
      <c r="K593" t="s">
        <v>1093</v>
      </c>
    </row>
    <row r="594" spans="1:11">
      <c r="A594" t="s">
        <v>1094</v>
      </c>
      <c r="B594" t="str">
        <f t="shared" si="9"/>
        <v>Wikirate International e.V.+Reporting standardsHensoldt AG</v>
      </c>
      <c r="C594" t="s">
        <v>1044</v>
      </c>
      <c r="D594" t="s">
        <v>208</v>
      </c>
      <c r="E594">
        <v>2024</v>
      </c>
      <c r="F594" t="s">
        <v>1095</v>
      </c>
      <c r="G594" t="s">
        <v>297</v>
      </c>
      <c r="H594">
        <v>22218364</v>
      </c>
      <c r="J594">
        <v>1</v>
      </c>
      <c r="K594" t="s">
        <v>1096</v>
      </c>
    </row>
    <row r="595" spans="1:11">
      <c r="A595" t="s">
        <v>1097</v>
      </c>
      <c r="B595" t="str">
        <f t="shared" si="9"/>
        <v>Wikirate International e.V.+Reporting standardsD√ºrr Group</v>
      </c>
      <c r="C595" t="s">
        <v>1044</v>
      </c>
      <c r="D595" t="s">
        <v>191</v>
      </c>
      <c r="E595">
        <v>2024</v>
      </c>
      <c r="F595" t="s">
        <v>1697</v>
      </c>
      <c r="G595" t="s">
        <v>299</v>
      </c>
      <c r="H595">
        <v>22218683</v>
      </c>
      <c r="I595" t="s">
        <v>300</v>
      </c>
      <c r="J595">
        <v>1</v>
      </c>
      <c r="K595" t="s">
        <v>1098</v>
      </c>
    </row>
    <row r="596" spans="1:11">
      <c r="A596" t="s">
        <v>1099</v>
      </c>
      <c r="B596" t="str">
        <f t="shared" si="9"/>
        <v>Wikirate International e.V.+Reporting standardsBASF SE</v>
      </c>
      <c r="C596" t="s">
        <v>1044</v>
      </c>
      <c r="D596" t="s">
        <v>108</v>
      </c>
      <c r="E596">
        <v>2024</v>
      </c>
      <c r="F596" t="s">
        <v>1598</v>
      </c>
      <c r="G596" t="s">
        <v>339</v>
      </c>
      <c r="H596">
        <v>22218708</v>
      </c>
      <c r="I596" t="s">
        <v>340</v>
      </c>
      <c r="J596">
        <v>1</v>
      </c>
      <c r="K596" t="s">
        <v>1599</v>
      </c>
    </row>
    <row r="597" spans="1:11">
      <c r="A597" t="s">
        <v>1100</v>
      </c>
      <c r="B597" t="str">
        <f t="shared" si="9"/>
        <v>Wikirate International e.V.+Reporting standardsHELLA GMBH &amp; CO. KGAA</v>
      </c>
      <c r="C597" t="s">
        <v>1044</v>
      </c>
      <c r="D597" t="s">
        <v>187</v>
      </c>
      <c r="E597">
        <v>2024</v>
      </c>
      <c r="F597" t="s">
        <v>1045</v>
      </c>
      <c r="G597" t="s">
        <v>384</v>
      </c>
      <c r="H597">
        <v>22218833</v>
      </c>
      <c r="J597">
        <v>1</v>
      </c>
      <c r="K597" t="s">
        <v>1600</v>
      </c>
    </row>
    <row r="598" spans="1:11">
      <c r="A598" t="s">
        <v>1101</v>
      </c>
      <c r="B598" t="str">
        <f t="shared" si="9"/>
        <v>Wikirate International e.V.+Reporting standardsDeere &amp; Co</v>
      </c>
      <c r="C598" t="s">
        <v>1044</v>
      </c>
      <c r="D598" t="s">
        <v>197</v>
      </c>
      <c r="E598">
        <v>2024</v>
      </c>
      <c r="F598" t="s">
        <v>1698</v>
      </c>
      <c r="G598" t="s">
        <v>303</v>
      </c>
      <c r="H598">
        <v>22218933</v>
      </c>
      <c r="J598">
        <v>1</v>
      </c>
      <c r="K598" t="s">
        <v>1102</v>
      </c>
    </row>
    <row r="599" spans="1:11">
      <c r="A599" t="s">
        <v>1103</v>
      </c>
      <c r="B599" t="str">
        <f t="shared" si="9"/>
        <v>Wikirate International e.V.+Reporting standardsAmprion GmbH</v>
      </c>
      <c r="C599" t="s">
        <v>1044</v>
      </c>
      <c r="D599" t="s">
        <v>182</v>
      </c>
      <c r="E599">
        <v>2024</v>
      </c>
      <c r="F599" t="s">
        <v>1104</v>
      </c>
      <c r="G599" t="s">
        <v>389</v>
      </c>
      <c r="H599">
        <v>22219010</v>
      </c>
      <c r="J599">
        <v>1</v>
      </c>
    </row>
    <row r="600" spans="1:11">
      <c r="A600" t="s">
        <v>1105</v>
      </c>
      <c r="B600" t="str">
        <f t="shared" si="9"/>
        <v>Wikirate International e.V.+Reporting standardsBoehringer Ingelheim GmbH</v>
      </c>
      <c r="C600" t="s">
        <v>1044</v>
      </c>
      <c r="D600" t="s">
        <v>201</v>
      </c>
      <c r="E600">
        <v>2024</v>
      </c>
      <c r="F600" t="s">
        <v>1104</v>
      </c>
      <c r="G600" t="s">
        <v>306</v>
      </c>
      <c r="H600">
        <v>22219132</v>
      </c>
      <c r="J600">
        <v>1</v>
      </c>
    </row>
    <row r="601" spans="1:11">
      <c r="A601" t="s">
        <v>1106</v>
      </c>
      <c r="B601" t="str">
        <f t="shared" si="9"/>
        <v>Wikirate International e.V.+Reporting standardsBayer AG</v>
      </c>
      <c r="C601" t="s">
        <v>1044</v>
      </c>
      <c r="D601" t="s">
        <v>87</v>
      </c>
      <c r="E601">
        <v>2024</v>
      </c>
      <c r="F601" t="s">
        <v>1601</v>
      </c>
      <c r="G601" t="s">
        <v>88</v>
      </c>
      <c r="H601">
        <v>22219216</v>
      </c>
      <c r="J601">
        <v>1</v>
      </c>
      <c r="K601" t="s">
        <v>1602</v>
      </c>
    </row>
    <row r="602" spans="1:11">
      <c r="A602" t="s">
        <v>1107</v>
      </c>
      <c r="B602" t="str">
        <f t="shared" si="9"/>
        <v>Wikirate International e.V.+Reporting standardsRWE Group</v>
      </c>
      <c r="C602" t="s">
        <v>1044</v>
      </c>
      <c r="D602" t="s">
        <v>14</v>
      </c>
      <c r="E602">
        <v>2024</v>
      </c>
      <c r="F602" t="s">
        <v>1045</v>
      </c>
      <c r="G602" t="s">
        <v>16</v>
      </c>
      <c r="H602">
        <v>22219307</v>
      </c>
      <c r="I602" t="s">
        <v>17</v>
      </c>
      <c r="J602">
        <v>1</v>
      </c>
      <c r="K602" t="s">
        <v>1108</v>
      </c>
    </row>
    <row r="603" spans="1:11">
      <c r="A603" t="s">
        <v>1109</v>
      </c>
      <c r="B603" t="str">
        <f t="shared" si="9"/>
        <v>Wikirate International e.V.+Reporting standardsRheinmetall AG</v>
      </c>
      <c r="C603" t="s">
        <v>1044</v>
      </c>
      <c r="D603" t="s">
        <v>79</v>
      </c>
      <c r="E603">
        <v>2024</v>
      </c>
      <c r="F603" t="s">
        <v>1045</v>
      </c>
      <c r="G603" t="s">
        <v>80</v>
      </c>
      <c r="H603">
        <v>22219771</v>
      </c>
      <c r="J603">
        <v>1</v>
      </c>
      <c r="K603" t="s">
        <v>1110</v>
      </c>
    </row>
    <row r="604" spans="1:11">
      <c r="A604" t="s">
        <v>1111</v>
      </c>
      <c r="B604" t="str">
        <f t="shared" si="9"/>
        <v>Wikirate International e.V.+Reporting standardsUniper SE</v>
      </c>
      <c r="C604" t="s">
        <v>1044</v>
      </c>
      <c r="D604" t="s">
        <v>83</v>
      </c>
      <c r="E604">
        <v>2024</v>
      </c>
      <c r="F604" t="s">
        <v>1112</v>
      </c>
      <c r="G604" t="s">
        <v>84</v>
      </c>
      <c r="H604">
        <v>22219785</v>
      </c>
      <c r="J604">
        <v>1</v>
      </c>
      <c r="K604" t="s">
        <v>1113</v>
      </c>
    </row>
    <row r="605" spans="1:11">
      <c r="A605" t="s">
        <v>1114</v>
      </c>
      <c r="B605" t="str">
        <f t="shared" si="9"/>
        <v>Wikirate International e.V.+Reporting standardsAirbus Group</v>
      </c>
      <c r="C605" t="s">
        <v>1044</v>
      </c>
      <c r="D605" t="s">
        <v>74</v>
      </c>
      <c r="E605">
        <v>2024</v>
      </c>
      <c r="F605" t="s">
        <v>1045</v>
      </c>
      <c r="G605" t="s">
        <v>75</v>
      </c>
      <c r="H605">
        <v>22245898</v>
      </c>
      <c r="I605" t="s">
        <v>76</v>
      </c>
      <c r="J605">
        <v>1</v>
      </c>
      <c r="K605" t="s">
        <v>1115</v>
      </c>
    </row>
    <row r="606" spans="1:11">
      <c r="A606" t="s">
        <v>1116</v>
      </c>
      <c r="B606" t="str">
        <f t="shared" si="9"/>
        <v>Wikirate International e.V.+Reporting standardsSiemens Energy AG</v>
      </c>
      <c r="C606" t="s">
        <v>1044</v>
      </c>
      <c r="D606" t="s">
        <v>71</v>
      </c>
      <c r="E606">
        <v>2024</v>
      </c>
      <c r="F606" t="s">
        <v>1104</v>
      </c>
      <c r="G606" t="s">
        <v>72</v>
      </c>
      <c r="H606">
        <v>22246025</v>
      </c>
      <c r="J606">
        <v>1</v>
      </c>
    </row>
    <row r="607" spans="1:11">
      <c r="A607" t="s">
        <v>1117</v>
      </c>
      <c r="B607" t="str">
        <f t="shared" si="9"/>
        <v>Wikirate International e.V.+Reporting standards50Hertz Transmission</v>
      </c>
      <c r="C607" t="s">
        <v>1044</v>
      </c>
      <c r="D607" t="s">
        <v>68</v>
      </c>
      <c r="E607">
        <v>2024</v>
      </c>
      <c r="F607" t="s">
        <v>1045</v>
      </c>
      <c r="G607" t="s">
        <v>69</v>
      </c>
      <c r="H607">
        <v>22246114</v>
      </c>
      <c r="J607">
        <v>1</v>
      </c>
      <c r="K607" t="s">
        <v>1118</v>
      </c>
    </row>
    <row r="608" spans="1:11">
      <c r="A608" t="s">
        <v>1119</v>
      </c>
      <c r="B608" t="str">
        <f t="shared" si="9"/>
        <v>Wikirate International e.V.+Reporting standardsKION Group</v>
      </c>
      <c r="C608" t="s">
        <v>1044</v>
      </c>
      <c r="D608" t="s">
        <v>65</v>
      </c>
      <c r="E608">
        <v>2024</v>
      </c>
      <c r="F608" t="s">
        <v>1603</v>
      </c>
      <c r="G608" t="s">
        <v>66</v>
      </c>
      <c r="H608">
        <v>22246284</v>
      </c>
      <c r="J608">
        <v>1</v>
      </c>
      <c r="K608" t="s">
        <v>1604</v>
      </c>
    </row>
    <row r="609" spans="1:11">
      <c r="A609" t="s">
        <v>1120</v>
      </c>
      <c r="B609" t="str">
        <f t="shared" si="9"/>
        <v>Wikirate International e.V.+Reporting standardsStadtwerke Munchen GmbH</v>
      </c>
      <c r="C609" t="s">
        <v>1044</v>
      </c>
      <c r="D609" t="s">
        <v>61</v>
      </c>
      <c r="E609">
        <v>2024</v>
      </c>
      <c r="F609" t="s">
        <v>1072</v>
      </c>
      <c r="G609" t="s">
        <v>62</v>
      </c>
      <c r="H609">
        <v>22246387</v>
      </c>
      <c r="J609">
        <v>1</v>
      </c>
      <c r="K609" t="s">
        <v>1121</v>
      </c>
    </row>
    <row r="610" spans="1:11">
      <c r="A610" t="s">
        <v>1122</v>
      </c>
      <c r="B610" t="str">
        <f t="shared" si="9"/>
        <v>Wikirate International e.V.+Reporting standardsE.ON SE</v>
      </c>
      <c r="C610" t="s">
        <v>1044</v>
      </c>
      <c r="D610" t="s">
        <v>57</v>
      </c>
      <c r="E610">
        <v>2024</v>
      </c>
      <c r="F610" t="s">
        <v>1045</v>
      </c>
      <c r="G610" t="s">
        <v>58</v>
      </c>
      <c r="H610">
        <v>22246443</v>
      </c>
      <c r="J610">
        <v>1</v>
      </c>
      <c r="K610" t="s">
        <v>1123</v>
      </c>
    </row>
    <row r="611" spans="1:11">
      <c r="A611" t="s">
        <v>1124</v>
      </c>
      <c r="B611" t="str">
        <f t="shared" si="9"/>
        <v>Wikirate International e.V.+Reporting standardsDiehl Stiftung &amp; Co. KG</v>
      </c>
      <c r="C611" t="s">
        <v>1044</v>
      </c>
      <c r="D611" t="s">
        <v>53</v>
      </c>
      <c r="E611">
        <v>2024</v>
      </c>
      <c r="F611" t="s">
        <v>1045</v>
      </c>
      <c r="G611" t="s">
        <v>54</v>
      </c>
      <c r="H611">
        <v>22246635</v>
      </c>
      <c r="J611">
        <v>1</v>
      </c>
      <c r="K611" t="s">
        <v>1125</v>
      </c>
    </row>
    <row r="612" spans="1:11">
      <c r="A612" t="s">
        <v>1126</v>
      </c>
      <c r="B612" t="str">
        <f t="shared" si="9"/>
        <v>Wikirate International e.V.+Reporting standardsMerck KGaA</v>
      </c>
      <c r="C612" t="s">
        <v>1044</v>
      </c>
      <c r="D612" t="s">
        <v>49</v>
      </c>
      <c r="E612">
        <v>2024</v>
      </c>
      <c r="F612" t="s">
        <v>1127</v>
      </c>
      <c r="G612" t="s">
        <v>50</v>
      </c>
      <c r="H612">
        <v>22246771</v>
      </c>
      <c r="J612">
        <v>1</v>
      </c>
      <c r="K612" t="s">
        <v>1128</v>
      </c>
    </row>
    <row r="613" spans="1:11">
      <c r="A613" t="s">
        <v>1129</v>
      </c>
      <c r="B613" t="str">
        <f t="shared" si="9"/>
        <v>Wikirate International e.V.+Reporting standardsEvonik</v>
      </c>
      <c r="C613" t="s">
        <v>1044</v>
      </c>
      <c r="D613" t="s">
        <v>45</v>
      </c>
      <c r="E613">
        <v>2024</v>
      </c>
      <c r="F613" t="s">
        <v>1052</v>
      </c>
      <c r="G613" t="s">
        <v>46</v>
      </c>
      <c r="H613">
        <v>22246903</v>
      </c>
      <c r="J613">
        <v>1</v>
      </c>
      <c r="K613" t="s">
        <v>1130</v>
      </c>
    </row>
    <row r="614" spans="1:11">
      <c r="A614" t="s">
        <v>1131</v>
      </c>
      <c r="B614" t="str">
        <f t="shared" si="9"/>
        <v>Wikirate International e.V.+Reporting standardsKNDS Group</v>
      </c>
      <c r="C614" t="s">
        <v>1044</v>
      </c>
      <c r="D614" t="s">
        <v>42</v>
      </c>
      <c r="E614">
        <v>2024</v>
      </c>
      <c r="F614" t="s">
        <v>1104</v>
      </c>
      <c r="G614" t="s">
        <v>43</v>
      </c>
      <c r="H614">
        <v>22247020</v>
      </c>
      <c r="J614">
        <v>1</v>
      </c>
    </row>
    <row r="615" spans="1:11">
      <c r="A615" t="s">
        <v>1132</v>
      </c>
      <c r="B615" t="str">
        <f t="shared" si="9"/>
        <v>Wikirate International e.V.+Reporting standardsLockheed Martin</v>
      </c>
      <c r="C615" t="s">
        <v>1044</v>
      </c>
      <c r="D615" t="s">
        <v>38</v>
      </c>
      <c r="E615">
        <v>2024</v>
      </c>
      <c r="F615" t="s">
        <v>1060</v>
      </c>
      <c r="G615" t="s">
        <v>39</v>
      </c>
      <c r="H615">
        <v>22247089</v>
      </c>
      <c r="J615">
        <v>1</v>
      </c>
      <c r="K615" t="s">
        <v>1133</v>
      </c>
    </row>
    <row r="616" spans="1:11">
      <c r="A616" t="s">
        <v>1134</v>
      </c>
      <c r="B616" t="str">
        <f t="shared" si="9"/>
        <v>Wikirate International e.V.+Reporting standardsLeonardo</v>
      </c>
      <c r="C616" t="s">
        <v>1044</v>
      </c>
      <c r="D616" t="s">
        <v>33</v>
      </c>
      <c r="E616">
        <v>2024</v>
      </c>
      <c r="F616" t="s">
        <v>1605</v>
      </c>
      <c r="G616" t="s">
        <v>34</v>
      </c>
      <c r="H616">
        <v>22247367</v>
      </c>
      <c r="I616" t="s">
        <v>35</v>
      </c>
      <c r="J616">
        <v>1</v>
      </c>
      <c r="K616" t="s">
        <v>1135</v>
      </c>
    </row>
    <row r="617" spans="1:11">
      <c r="A617" t="s">
        <v>1136</v>
      </c>
      <c r="B617" t="str">
        <f t="shared" si="9"/>
        <v>Wikirate International e.V.+Reporting standardsGelsenwasser</v>
      </c>
      <c r="C617" t="s">
        <v>1044</v>
      </c>
      <c r="D617" t="s">
        <v>29</v>
      </c>
      <c r="E617">
        <v>2024</v>
      </c>
      <c r="F617" t="s">
        <v>1095</v>
      </c>
      <c r="G617" t="s">
        <v>30</v>
      </c>
      <c r="H617">
        <v>22247804</v>
      </c>
      <c r="J617">
        <v>1</v>
      </c>
      <c r="K617" t="s">
        <v>1137</v>
      </c>
    </row>
    <row r="618" spans="1:11">
      <c r="A618" t="s">
        <v>1138</v>
      </c>
      <c r="B618" t="str">
        <f t="shared" si="9"/>
        <v>Wikirate International e.V.+Reporting standardsWacker Chemie</v>
      </c>
      <c r="C618" t="s">
        <v>1044</v>
      </c>
      <c r="D618" t="s">
        <v>24</v>
      </c>
      <c r="E618">
        <v>2024</v>
      </c>
      <c r="F618" t="s">
        <v>1139</v>
      </c>
      <c r="G618" t="s">
        <v>25</v>
      </c>
      <c r="H618">
        <v>22249909</v>
      </c>
      <c r="I618" t="s">
        <v>26</v>
      </c>
      <c r="J618">
        <v>1</v>
      </c>
      <c r="K618" t="s">
        <v>1140</v>
      </c>
    </row>
    <row r="619" spans="1:11">
      <c r="A619" t="s">
        <v>1141</v>
      </c>
      <c r="B619" t="str">
        <f t="shared" si="9"/>
        <v>Wikirate International e.V.+Reporting standardsTh√ºga Holding</v>
      </c>
      <c r="C619" t="s">
        <v>1044</v>
      </c>
      <c r="D619" t="s">
        <v>20</v>
      </c>
      <c r="E619">
        <v>2024</v>
      </c>
      <c r="F619" t="s">
        <v>1139</v>
      </c>
      <c r="G619" t="s">
        <v>22</v>
      </c>
      <c r="H619">
        <v>22250782</v>
      </c>
      <c r="J619">
        <v>1</v>
      </c>
      <c r="K619" t="s">
        <v>1606</v>
      </c>
    </row>
    <row r="620" spans="1:11">
      <c r="A620" t="s">
        <v>1142</v>
      </c>
      <c r="B620" t="str">
        <f t="shared" si="9"/>
        <v>Wikirate International e.V.+Data license typeMercedes-Benz AG</v>
      </c>
      <c r="C620" t="s">
        <v>1143</v>
      </c>
      <c r="D620" t="s">
        <v>102</v>
      </c>
      <c r="E620">
        <v>2024</v>
      </c>
      <c r="F620" t="s">
        <v>1144</v>
      </c>
      <c r="G620" t="s">
        <v>249</v>
      </c>
      <c r="H620">
        <v>22197736</v>
      </c>
      <c r="I620" t="s">
        <v>250</v>
      </c>
      <c r="J620">
        <v>1</v>
      </c>
    </row>
    <row r="621" spans="1:11">
      <c r="A621" t="s">
        <v>1145</v>
      </c>
      <c r="B621" t="str">
        <f t="shared" si="9"/>
        <v>Wikirate International e.V.+Data license typeVolkswagen AG</v>
      </c>
      <c r="C621" t="s">
        <v>1143</v>
      </c>
      <c r="D621" t="s">
        <v>112</v>
      </c>
      <c r="E621">
        <v>2024</v>
      </c>
      <c r="F621" t="s">
        <v>1144</v>
      </c>
      <c r="G621" t="s">
        <v>342</v>
      </c>
      <c r="H621">
        <v>22204214</v>
      </c>
      <c r="I621" t="s">
        <v>343</v>
      </c>
      <c r="J621">
        <v>1</v>
      </c>
    </row>
    <row r="622" spans="1:11">
      <c r="A622" t="s">
        <v>1146</v>
      </c>
      <c r="B622" t="str">
        <f t="shared" si="9"/>
        <v>Wikirate International e.V.+Data license typeBMW AG</v>
      </c>
      <c r="C622" t="s">
        <v>1143</v>
      </c>
      <c r="D622" t="s">
        <v>92</v>
      </c>
      <c r="E622">
        <v>2024</v>
      </c>
      <c r="F622" t="s">
        <v>1144</v>
      </c>
      <c r="G622" t="s">
        <v>329</v>
      </c>
      <c r="H622">
        <v>22204391</v>
      </c>
      <c r="I622" t="s">
        <v>330</v>
      </c>
      <c r="J622">
        <v>1</v>
      </c>
    </row>
    <row r="623" spans="1:11">
      <c r="A623" t="s">
        <v>1147</v>
      </c>
      <c r="B623" t="str">
        <f t="shared" si="9"/>
        <v>Wikirate International e.V.+Data license typeJenoptik AG</v>
      </c>
      <c r="C623" t="s">
        <v>1143</v>
      </c>
      <c r="D623" t="s">
        <v>123</v>
      </c>
      <c r="E623">
        <v>2024</v>
      </c>
      <c r="F623" t="s">
        <v>1144</v>
      </c>
      <c r="G623" t="s">
        <v>261</v>
      </c>
      <c r="H623">
        <v>22205756</v>
      </c>
      <c r="J623">
        <v>1</v>
      </c>
    </row>
    <row r="624" spans="1:11">
      <c r="A624" t="s">
        <v>1148</v>
      </c>
      <c r="B624" t="str">
        <f t="shared" si="9"/>
        <v>Wikirate International e.V.+Data license typeContinental AG</v>
      </c>
      <c r="C624" t="s">
        <v>1143</v>
      </c>
      <c r="D624" t="s">
        <v>126</v>
      </c>
      <c r="E624">
        <v>2024</v>
      </c>
      <c r="F624" t="s">
        <v>1144</v>
      </c>
      <c r="G624" t="s">
        <v>353</v>
      </c>
      <c r="H624">
        <v>22205813</v>
      </c>
      <c r="I624" t="s">
        <v>354</v>
      </c>
      <c r="J624">
        <v>1</v>
      </c>
    </row>
    <row r="625" spans="1:11">
      <c r="A625" t="s">
        <v>1149</v>
      </c>
      <c r="B625" t="str">
        <f t="shared" si="9"/>
        <v>Wikirate International e.V.+Data license typeHelm AG</v>
      </c>
      <c r="C625" t="s">
        <v>1143</v>
      </c>
      <c r="D625" t="s">
        <v>132</v>
      </c>
      <c r="E625">
        <v>2024</v>
      </c>
      <c r="F625" t="s">
        <v>1144</v>
      </c>
      <c r="G625" t="s">
        <v>268</v>
      </c>
      <c r="H625">
        <v>22205902</v>
      </c>
      <c r="J625">
        <v>1</v>
      </c>
    </row>
    <row r="626" spans="1:11">
      <c r="A626" t="s">
        <v>1150</v>
      </c>
      <c r="B626" t="str">
        <f t="shared" si="9"/>
        <v>Wikirate International e.V.+Data license typeSiemens AG</v>
      </c>
      <c r="C626" t="s">
        <v>1143</v>
      </c>
      <c r="D626" t="s">
        <v>148</v>
      </c>
      <c r="E626">
        <v>2024</v>
      </c>
      <c r="F626" t="s">
        <v>1144</v>
      </c>
      <c r="G626" t="s">
        <v>270</v>
      </c>
      <c r="H626">
        <v>22206461</v>
      </c>
      <c r="J626">
        <v>1</v>
      </c>
    </row>
    <row r="627" spans="1:11">
      <c r="A627" t="s">
        <v>1151</v>
      </c>
      <c r="B627" t="str">
        <f t="shared" si="9"/>
        <v>Wikirate International e.V.+Data license typeThyssenKrupp Group</v>
      </c>
      <c r="C627" t="s">
        <v>1143</v>
      </c>
      <c r="D627" t="s">
        <v>129</v>
      </c>
      <c r="E627">
        <v>2024</v>
      </c>
      <c r="F627" t="s">
        <v>1144</v>
      </c>
      <c r="G627" t="s">
        <v>265</v>
      </c>
      <c r="H627">
        <v>22206524</v>
      </c>
      <c r="I627" t="s">
        <v>266</v>
      </c>
      <c r="J627">
        <v>1</v>
      </c>
    </row>
    <row r="628" spans="1:11">
      <c r="A628" t="s">
        <v>1152</v>
      </c>
      <c r="B628" t="str">
        <f t="shared" si="9"/>
        <v>Wikirate International e.V.+Data license typeRobert Bosch GmbH</v>
      </c>
      <c r="C628" t="s">
        <v>1143</v>
      </c>
      <c r="D628" t="s">
        <v>138</v>
      </c>
      <c r="E628">
        <v>2024</v>
      </c>
      <c r="F628" t="s">
        <v>1144</v>
      </c>
      <c r="G628" t="s">
        <v>273</v>
      </c>
      <c r="H628">
        <v>22208598</v>
      </c>
      <c r="I628" t="s">
        <v>274</v>
      </c>
      <c r="J628">
        <v>1</v>
      </c>
    </row>
    <row r="629" spans="1:11">
      <c r="A629" t="s">
        <v>1153</v>
      </c>
      <c r="B629" t="str">
        <f t="shared" si="9"/>
        <v>Wikirate International e.V.+Data license typeGEA Group</v>
      </c>
      <c r="C629" t="s">
        <v>1143</v>
      </c>
      <c r="D629" t="s">
        <v>135</v>
      </c>
      <c r="E629">
        <v>2024</v>
      </c>
      <c r="F629" t="s">
        <v>1144</v>
      </c>
      <c r="G629" t="s">
        <v>360</v>
      </c>
      <c r="H629">
        <v>22208608</v>
      </c>
      <c r="J629">
        <v>1</v>
      </c>
    </row>
    <row r="630" spans="1:11">
      <c r="A630" t="s">
        <v>1154</v>
      </c>
      <c r="B630" t="str">
        <f t="shared" si="9"/>
        <v>Wikirate International e.V.+Data license typeMahle GmbH</v>
      </c>
      <c r="C630" t="s">
        <v>1143</v>
      </c>
      <c r="D630" t="s">
        <v>142</v>
      </c>
      <c r="E630">
        <v>2024</v>
      </c>
      <c r="F630" t="s">
        <v>1144</v>
      </c>
      <c r="G630" t="s">
        <v>276</v>
      </c>
      <c r="H630">
        <v>22208734</v>
      </c>
      <c r="J630">
        <v>1</v>
      </c>
    </row>
    <row r="631" spans="1:11">
      <c r="A631" t="s">
        <v>1155</v>
      </c>
      <c r="B631" t="str">
        <f t="shared" si="9"/>
        <v>Wikirate International e.V.+Data license typeVoith</v>
      </c>
      <c r="C631" t="s">
        <v>1143</v>
      </c>
      <c r="D631" t="s">
        <v>145</v>
      </c>
      <c r="E631">
        <v>2024</v>
      </c>
      <c r="F631" t="s">
        <v>1144</v>
      </c>
      <c r="G631" t="s">
        <v>278</v>
      </c>
      <c r="H631">
        <v>22209006</v>
      </c>
      <c r="I631" t="s">
        <v>279</v>
      </c>
      <c r="J631">
        <v>1</v>
      </c>
    </row>
    <row r="632" spans="1:11">
      <c r="A632" t="s">
        <v>1156</v>
      </c>
      <c r="B632" t="str">
        <f t="shared" si="9"/>
        <v>Wikirate International e.V.+Data license typeZF Friedrichshafen</v>
      </c>
      <c r="C632" t="s">
        <v>1143</v>
      </c>
      <c r="D632" t="s">
        <v>152</v>
      </c>
      <c r="E632">
        <v>2024</v>
      </c>
      <c r="F632" t="s">
        <v>1144</v>
      </c>
      <c r="G632" t="s">
        <v>283</v>
      </c>
      <c r="H632">
        <v>22209283</v>
      </c>
      <c r="J632">
        <v>1</v>
      </c>
    </row>
    <row r="633" spans="1:11">
      <c r="A633" t="s">
        <v>1157</v>
      </c>
      <c r="B633" t="str">
        <f t="shared" si="9"/>
        <v>Wikirate International e.V.+Data license typeSchaeffler Technologies</v>
      </c>
      <c r="C633" t="s">
        <v>1143</v>
      </c>
      <c r="D633" t="s">
        <v>1618</v>
      </c>
      <c r="E633">
        <v>2024</v>
      </c>
      <c r="F633" t="s">
        <v>1144</v>
      </c>
      <c r="G633" t="s">
        <v>281</v>
      </c>
      <c r="H633">
        <v>22209328</v>
      </c>
      <c r="J633">
        <v>1</v>
      </c>
    </row>
    <row r="634" spans="1:11">
      <c r="A634" t="s">
        <v>1158</v>
      </c>
      <c r="B634" t="str">
        <f t="shared" si="9"/>
        <v>Wikirate International e.V.+Data license typeJungheinrich AG</v>
      </c>
      <c r="C634" t="s">
        <v>1143</v>
      </c>
      <c r="D634" t="s">
        <v>155</v>
      </c>
      <c r="E634">
        <v>2024</v>
      </c>
      <c r="F634" t="s">
        <v>1144</v>
      </c>
      <c r="G634" t="s">
        <v>285</v>
      </c>
      <c r="H634">
        <v>22209411</v>
      </c>
      <c r="J634">
        <v>1</v>
      </c>
    </row>
    <row r="635" spans="1:11">
      <c r="A635" t="s">
        <v>1159</v>
      </c>
      <c r="B635" t="str">
        <f t="shared" si="9"/>
        <v>Wikirate International e.V.+Data license typeLanxess</v>
      </c>
      <c r="C635" t="s">
        <v>1143</v>
      </c>
      <c r="D635" t="s">
        <v>194</v>
      </c>
      <c r="E635">
        <v>2024</v>
      </c>
      <c r="F635" t="s">
        <v>1144</v>
      </c>
      <c r="G635" t="s">
        <v>287</v>
      </c>
      <c r="H635">
        <v>22209489</v>
      </c>
      <c r="J635">
        <v>1</v>
      </c>
    </row>
    <row r="636" spans="1:11">
      <c r="A636" t="s">
        <v>1160</v>
      </c>
      <c r="B636" t="str">
        <f t="shared" si="9"/>
        <v>Wikirate International e.V.+Data license typeD√ºrr Group</v>
      </c>
      <c r="C636" t="s">
        <v>1143</v>
      </c>
      <c r="D636" t="s">
        <v>191</v>
      </c>
      <c r="E636">
        <v>2024</v>
      </c>
      <c r="F636" t="s">
        <v>1144</v>
      </c>
      <c r="G636" t="s">
        <v>299</v>
      </c>
      <c r="H636">
        <v>22210551</v>
      </c>
      <c r="I636" t="s">
        <v>300</v>
      </c>
      <c r="J636">
        <v>1</v>
      </c>
    </row>
    <row r="637" spans="1:11">
      <c r="A637" t="s">
        <v>1161</v>
      </c>
      <c r="B637" t="str">
        <f t="shared" si="9"/>
        <v>Wikirate International e.V.+Data license typeCovestro</v>
      </c>
      <c r="C637" t="s">
        <v>1143</v>
      </c>
      <c r="D637" t="s">
        <v>164</v>
      </c>
      <c r="E637">
        <v>2024</v>
      </c>
      <c r="F637" t="s">
        <v>1144</v>
      </c>
      <c r="G637" t="s">
        <v>289</v>
      </c>
      <c r="H637">
        <v>22211084</v>
      </c>
      <c r="I637" t="s">
        <v>290</v>
      </c>
      <c r="J637">
        <v>1</v>
      </c>
    </row>
    <row r="638" spans="1:11">
      <c r="A638" t="s">
        <v>1162</v>
      </c>
      <c r="B638" t="str">
        <f t="shared" si="9"/>
        <v>Wikirate International e.V.+Data license typeDaimler Truck AG</v>
      </c>
      <c r="C638" t="s">
        <v>1143</v>
      </c>
      <c r="D638" t="s">
        <v>118</v>
      </c>
      <c r="E638">
        <v>2024</v>
      </c>
      <c r="F638" t="s">
        <v>1144</v>
      </c>
      <c r="G638" t="s">
        <v>119</v>
      </c>
      <c r="H638">
        <v>22211368</v>
      </c>
      <c r="I638" t="s">
        <v>120</v>
      </c>
      <c r="J638">
        <v>1</v>
      </c>
      <c r="K638" t="s">
        <v>1163</v>
      </c>
    </row>
    <row r="639" spans="1:11">
      <c r="A639" t="s">
        <v>1164</v>
      </c>
      <c r="B639" t="str">
        <f t="shared" si="9"/>
        <v>Wikirate International e.V.+Data license typeKrones AG</v>
      </c>
      <c r="C639" t="s">
        <v>1143</v>
      </c>
      <c r="D639" t="s">
        <v>168</v>
      </c>
      <c r="E639">
        <v>2024</v>
      </c>
      <c r="F639" t="s">
        <v>1144</v>
      </c>
      <c r="G639" t="s">
        <v>371</v>
      </c>
      <c r="H639">
        <v>22211618</v>
      </c>
      <c r="J639">
        <v>1</v>
      </c>
    </row>
    <row r="640" spans="1:11">
      <c r="A640" t="s">
        <v>1165</v>
      </c>
      <c r="B640" t="str">
        <f t="shared" si="9"/>
        <v>Wikirate International e.V.+Data license typeHenkel AG &amp; Co. KGaA</v>
      </c>
      <c r="C640" t="s">
        <v>1143</v>
      </c>
      <c r="D640" t="s">
        <v>172</v>
      </c>
      <c r="E640">
        <v>2024</v>
      </c>
      <c r="F640" t="s">
        <v>1144</v>
      </c>
      <c r="G640" t="s">
        <v>374</v>
      </c>
      <c r="H640">
        <v>22211725</v>
      </c>
      <c r="I640" t="s">
        <v>375</v>
      </c>
      <c r="J640">
        <v>1</v>
      </c>
    </row>
    <row r="641" spans="1:11">
      <c r="A641" t="s">
        <v>1166</v>
      </c>
      <c r="B641" t="str">
        <f t="shared" si="9"/>
        <v>Wikirate International e.V.+Data license typeEnBW-Energie Baden-Wuerttemberg</v>
      </c>
      <c r="C641" t="s">
        <v>1143</v>
      </c>
      <c r="D641" t="s">
        <v>177</v>
      </c>
      <c r="E641">
        <v>2024</v>
      </c>
      <c r="F641" t="s">
        <v>1144</v>
      </c>
      <c r="G641" t="s">
        <v>377</v>
      </c>
      <c r="H641">
        <v>22218197</v>
      </c>
      <c r="J641">
        <v>1</v>
      </c>
    </row>
    <row r="642" spans="1:11">
      <c r="A642" t="s">
        <v>1167</v>
      </c>
      <c r="B642" t="str">
        <f t="shared" si="9"/>
        <v>Wikirate International e.V.+Data license typeHensoldt AG</v>
      </c>
      <c r="C642" t="s">
        <v>1143</v>
      </c>
      <c r="D642" t="s">
        <v>208</v>
      </c>
      <c r="E642">
        <v>2024</v>
      </c>
      <c r="F642" t="s">
        <v>1144</v>
      </c>
      <c r="G642" t="s">
        <v>297</v>
      </c>
      <c r="H642">
        <v>22218437</v>
      </c>
      <c r="J642">
        <v>1</v>
      </c>
    </row>
    <row r="643" spans="1:11">
      <c r="A643" t="s">
        <v>1168</v>
      </c>
      <c r="B643" t="str">
        <f t="shared" si="9"/>
        <v>Wikirate International e.V.+Data license typeBASF SE</v>
      </c>
      <c r="C643" t="s">
        <v>1143</v>
      </c>
      <c r="D643" t="s">
        <v>108</v>
      </c>
      <c r="E643">
        <v>2024</v>
      </c>
      <c r="F643" t="s">
        <v>1144</v>
      </c>
      <c r="G643" t="s">
        <v>339</v>
      </c>
      <c r="H643">
        <v>22218716</v>
      </c>
      <c r="I643" t="s">
        <v>340</v>
      </c>
      <c r="J643">
        <v>1</v>
      </c>
    </row>
    <row r="644" spans="1:11">
      <c r="A644" t="s">
        <v>1169</v>
      </c>
      <c r="B644" t="str">
        <f t="shared" si="9"/>
        <v>Wikirate International e.V.+Data license typeHELLA GMBH &amp; CO. KGAA</v>
      </c>
      <c r="C644" t="s">
        <v>1143</v>
      </c>
      <c r="D644" t="s">
        <v>187</v>
      </c>
      <c r="E644">
        <v>2024</v>
      </c>
      <c r="F644" t="s">
        <v>1144</v>
      </c>
      <c r="G644" t="s">
        <v>384</v>
      </c>
      <c r="H644">
        <v>22218847</v>
      </c>
      <c r="J644">
        <v>1</v>
      </c>
    </row>
    <row r="645" spans="1:11">
      <c r="A645" t="s">
        <v>1170</v>
      </c>
      <c r="B645" t="str">
        <f t="shared" si="9"/>
        <v>Wikirate International e.V.+Data license typeDeere &amp; Co</v>
      </c>
      <c r="C645" t="s">
        <v>1143</v>
      </c>
      <c r="D645" t="s">
        <v>197</v>
      </c>
      <c r="E645">
        <v>2024</v>
      </c>
      <c r="F645" t="s">
        <v>1144</v>
      </c>
      <c r="G645" t="s">
        <v>303</v>
      </c>
      <c r="H645">
        <v>22218947</v>
      </c>
      <c r="J645">
        <v>1</v>
      </c>
    </row>
    <row r="646" spans="1:11">
      <c r="A646" t="s">
        <v>1171</v>
      </c>
      <c r="B646" t="str">
        <f t="shared" si="9"/>
        <v>Wikirate International e.V.+Data license typeAmprion GmbH</v>
      </c>
      <c r="C646" t="s">
        <v>1143</v>
      </c>
      <c r="D646" t="s">
        <v>182</v>
      </c>
      <c r="E646">
        <v>2024</v>
      </c>
      <c r="F646" t="s">
        <v>1144</v>
      </c>
      <c r="G646" t="s">
        <v>389</v>
      </c>
      <c r="H646">
        <v>22219022</v>
      </c>
      <c r="J646">
        <v>1</v>
      </c>
    </row>
    <row r="647" spans="1:11">
      <c r="A647" t="s">
        <v>1172</v>
      </c>
      <c r="B647" t="str">
        <f t="shared" ref="B647:B710" si="10">C647&amp;D647</f>
        <v>Wikirate International e.V.+Data license typeBoehringer Ingelheim GmbH</v>
      </c>
      <c r="C647" t="s">
        <v>1143</v>
      </c>
      <c r="D647" t="s">
        <v>201</v>
      </c>
      <c r="E647">
        <v>2024</v>
      </c>
      <c r="F647" t="s">
        <v>1173</v>
      </c>
      <c r="G647" t="s">
        <v>306</v>
      </c>
      <c r="H647">
        <v>22219145</v>
      </c>
      <c r="J647">
        <v>1</v>
      </c>
      <c r="K647" t="s">
        <v>1174</v>
      </c>
    </row>
    <row r="648" spans="1:11">
      <c r="A648" t="s">
        <v>1175</v>
      </c>
      <c r="B648" t="str">
        <f t="shared" si="10"/>
        <v>Wikirate International e.V.+Data license typeBayer AG</v>
      </c>
      <c r="C648" t="s">
        <v>1143</v>
      </c>
      <c r="D648" t="s">
        <v>87</v>
      </c>
      <c r="E648">
        <v>2024</v>
      </c>
      <c r="F648" t="s">
        <v>1144</v>
      </c>
      <c r="G648" t="s">
        <v>88</v>
      </c>
      <c r="H648">
        <v>22219222</v>
      </c>
      <c r="J648">
        <v>1</v>
      </c>
    </row>
    <row r="649" spans="1:11">
      <c r="A649" t="s">
        <v>1176</v>
      </c>
      <c r="B649" t="str">
        <f t="shared" si="10"/>
        <v>Wikirate International e.V.+Data license typeRWE Group</v>
      </c>
      <c r="C649" t="s">
        <v>1143</v>
      </c>
      <c r="D649" t="s">
        <v>14</v>
      </c>
      <c r="E649">
        <v>2024</v>
      </c>
      <c r="F649" t="s">
        <v>1144</v>
      </c>
      <c r="G649" t="s">
        <v>16</v>
      </c>
      <c r="H649">
        <v>22219314</v>
      </c>
      <c r="I649" t="s">
        <v>17</v>
      </c>
      <c r="J649">
        <v>1</v>
      </c>
    </row>
    <row r="650" spans="1:11">
      <c r="A650" t="s">
        <v>1177</v>
      </c>
      <c r="B650" t="str">
        <f t="shared" si="10"/>
        <v>Wikirate International e.V.+Data license typeRheinmetall AG</v>
      </c>
      <c r="C650" t="s">
        <v>1143</v>
      </c>
      <c r="D650" t="s">
        <v>79</v>
      </c>
      <c r="E650">
        <v>2024</v>
      </c>
      <c r="F650" t="s">
        <v>1144</v>
      </c>
      <c r="G650" t="s">
        <v>80</v>
      </c>
      <c r="H650">
        <v>22219832</v>
      </c>
      <c r="J650">
        <v>1</v>
      </c>
    </row>
    <row r="651" spans="1:11">
      <c r="A651" t="s">
        <v>1178</v>
      </c>
      <c r="B651" t="str">
        <f t="shared" si="10"/>
        <v>Wikirate International e.V.+Data license typeUniper SE</v>
      </c>
      <c r="C651" t="s">
        <v>1143</v>
      </c>
      <c r="D651" t="s">
        <v>83</v>
      </c>
      <c r="E651">
        <v>2024</v>
      </c>
      <c r="F651" t="s">
        <v>1144</v>
      </c>
      <c r="G651" t="s">
        <v>84</v>
      </c>
      <c r="H651">
        <v>22219870</v>
      </c>
      <c r="J651">
        <v>1</v>
      </c>
    </row>
    <row r="652" spans="1:11">
      <c r="A652" t="s">
        <v>1179</v>
      </c>
      <c r="B652" t="str">
        <f t="shared" si="10"/>
        <v>Wikirate International e.V.+Data license typeAirbus Group</v>
      </c>
      <c r="C652" t="s">
        <v>1143</v>
      </c>
      <c r="D652" t="s">
        <v>74</v>
      </c>
      <c r="E652">
        <v>2024</v>
      </c>
      <c r="F652" t="s">
        <v>1144</v>
      </c>
      <c r="G652" t="s">
        <v>75</v>
      </c>
      <c r="H652">
        <v>22245905</v>
      </c>
      <c r="I652" t="s">
        <v>76</v>
      </c>
      <c r="J652">
        <v>1</v>
      </c>
    </row>
    <row r="653" spans="1:11">
      <c r="A653" t="s">
        <v>1180</v>
      </c>
      <c r="B653" t="str">
        <f t="shared" si="10"/>
        <v>Wikirate International e.V.+Data license typeSiemens Energy AG</v>
      </c>
      <c r="C653" t="s">
        <v>1143</v>
      </c>
      <c r="D653" t="s">
        <v>71</v>
      </c>
      <c r="E653">
        <v>2024</v>
      </c>
      <c r="F653" t="s">
        <v>1144</v>
      </c>
      <c r="G653" t="s">
        <v>72</v>
      </c>
      <c r="H653">
        <v>22246040</v>
      </c>
      <c r="J653">
        <v>1</v>
      </c>
    </row>
    <row r="654" spans="1:11">
      <c r="A654" t="s">
        <v>1181</v>
      </c>
      <c r="B654" t="str">
        <f t="shared" si="10"/>
        <v>Wikirate International e.V.+Data license type50Hertz Transmission</v>
      </c>
      <c r="C654" t="s">
        <v>1143</v>
      </c>
      <c r="D654" t="s">
        <v>68</v>
      </c>
      <c r="E654">
        <v>2024</v>
      </c>
      <c r="F654" t="s">
        <v>1144</v>
      </c>
      <c r="G654" t="s">
        <v>69</v>
      </c>
      <c r="H654">
        <v>22246126</v>
      </c>
      <c r="J654">
        <v>1</v>
      </c>
    </row>
    <row r="655" spans="1:11">
      <c r="A655" t="s">
        <v>1182</v>
      </c>
      <c r="B655" t="str">
        <f t="shared" si="10"/>
        <v>Wikirate International e.V.+Data license typeKION Group</v>
      </c>
      <c r="C655" t="s">
        <v>1143</v>
      </c>
      <c r="D655" t="s">
        <v>65</v>
      </c>
      <c r="E655">
        <v>2024</v>
      </c>
      <c r="F655" t="s">
        <v>1144</v>
      </c>
      <c r="G655" t="s">
        <v>66</v>
      </c>
      <c r="H655">
        <v>22246309</v>
      </c>
      <c r="J655">
        <v>1</v>
      </c>
    </row>
    <row r="656" spans="1:11">
      <c r="A656" t="s">
        <v>1183</v>
      </c>
      <c r="B656" t="str">
        <f t="shared" si="10"/>
        <v>Wikirate International e.V.+Data license typeStadtwerke Munchen GmbH</v>
      </c>
      <c r="C656" t="s">
        <v>1143</v>
      </c>
      <c r="D656" t="s">
        <v>61</v>
      </c>
      <c r="E656">
        <v>2024</v>
      </c>
      <c r="F656" t="s">
        <v>1144</v>
      </c>
      <c r="G656" t="s">
        <v>62</v>
      </c>
      <c r="H656">
        <v>22246404</v>
      </c>
      <c r="J656">
        <v>1</v>
      </c>
    </row>
    <row r="657" spans="1:11">
      <c r="A657" t="s">
        <v>1184</v>
      </c>
      <c r="B657" t="str">
        <f t="shared" si="10"/>
        <v>Wikirate International e.V.+Data license typeE.ON SE</v>
      </c>
      <c r="C657" t="s">
        <v>1143</v>
      </c>
      <c r="D657" t="s">
        <v>57</v>
      </c>
      <c r="E657">
        <v>2024</v>
      </c>
      <c r="F657" t="s">
        <v>1144</v>
      </c>
      <c r="G657" t="s">
        <v>58</v>
      </c>
      <c r="H657">
        <v>22246449</v>
      </c>
      <c r="J657">
        <v>1</v>
      </c>
    </row>
    <row r="658" spans="1:11">
      <c r="A658" t="s">
        <v>1185</v>
      </c>
      <c r="B658" t="str">
        <f t="shared" si="10"/>
        <v>Wikirate International e.V.+Data license typeDiehl Stiftung &amp; Co. KG</v>
      </c>
      <c r="C658" t="s">
        <v>1143</v>
      </c>
      <c r="D658" t="s">
        <v>53</v>
      </c>
      <c r="E658">
        <v>2024</v>
      </c>
      <c r="F658" t="s">
        <v>1144</v>
      </c>
      <c r="G658" t="s">
        <v>54</v>
      </c>
      <c r="H658">
        <v>22246652</v>
      </c>
      <c r="J658">
        <v>1</v>
      </c>
    </row>
    <row r="659" spans="1:11">
      <c r="A659" t="s">
        <v>1186</v>
      </c>
      <c r="B659" t="str">
        <f t="shared" si="10"/>
        <v>Wikirate International e.V.+Data license typeMerck KGaA</v>
      </c>
      <c r="C659" t="s">
        <v>1143</v>
      </c>
      <c r="D659" t="s">
        <v>49</v>
      </c>
      <c r="E659">
        <v>2024</v>
      </c>
      <c r="F659" t="s">
        <v>1144</v>
      </c>
      <c r="G659" t="s">
        <v>50</v>
      </c>
      <c r="H659">
        <v>22246788</v>
      </c>
      <c r="J659">
        <v>1</v>
      </c>
    </row>
    <row r="660" spans="1:11">
      <c r="A660" t="s">
        <v>1187</v>
      </c>
      <c r="B660" t="str">
        <f t="shared" si="10"/>
        <v>Wikirate International e.V.+Data license typeEvonik</v>
      </c>
      <c r="C660" t="s">
        <v>1143</v>
      </c>
      <c r="D660" t="s">
        <v>45</v>
      </c>
      <c r="E660">
        <v>2024</v>
      </c>
      <c r="F660" t="s">
        <v>1144</v>
      </c>
      <c r="G660" t="s">
        <v>46</v>
      </c>
      <c r="H660">
        <v>22246920</v>
      </c>
      <c r="J660">
        <v>1</v>
      </c>
    </row>
    <row r="661" spans="1:11">
      <c r="A661" t="s">
        <v>1188</v>
      </c>
      <c r="B661" t="str">
        <f t="shared" si="10"/>
        <v>Wikirate International e.V.+Data license typeKNDS Group</v>
      </c>
      <c r="C661" t="s">
        <v>1143</v>
      </c>
      <c r="D661" t="s">
        <v>42</v>
      </c>
      <c r="E661">
        <v>2024</v>
      </c>
      <c r="F661" t="s">
        <v>1144</v>
      </c>
      <c r="G661" t="s">
        <v>43</v>
      </c>
      <c r="H661">
        <v>22247035</v>
      </c>
      <c r="J661">
        <v>1</v>
      </c>
    </row>
    <row r="662" spans="1:11">
      <c r="A662" t="s">
        <v>1189</v>
      </c>
      <c r="B662" t="str">
        <f t="shared" si="10"/>
        <v>Wikirate International e.V.+Data license typeLockheed Martin</v>
      </c>
      <c r="C662" t="s">
        <v>1143</v>
      </c>
      <c r="D662" t="s">
        <v>38</v>
      </c>
      <c r="E662">
        <v>2024</v>
      </c>
      <c r="F662" t="s">
        <v>1173</v>
      </c>
      <c r="G662" t="s">
        <v>39</v>
      </c>
      <c r="H662">
        <v>22247110</v>
      </c>
      <c r="J662">
        <v>1</v>
      </c>
      <c r="K662" t="s">
        <v>1607</v>
      </c>
    </row>
    <row r="663" spans="1:11">
      <c r="A663" t="s">
        <v>1190</v>
      </c>
      <c r="B663" t="str">
        <f t="shared" si="10"/>
        <v>Wikirate International e.V.+Data license typeLeonardo</v>
      </c>
      <c r="C663" t="s">
        <v>1143</v>
      </c>
      <c r="D663" t="s">
        <v>33</v>
      </c>
      <c r="E663">
        <v>2024</v>
      </c>
      <c r="F663" t="s">
        <v>1144</v>
      </c>
      <c r="G663" t="s">
        <v>34</v>
      </c>
      <c r="H663">
        <v>22247386</v>
      </c>
      <c r="I663" t="s">
        <v>35</v>
      </c>
      <c r="J663">
        <v>1</v>
      </c>
    </row>
    <row r="664" spans="1:11">
      <c r="A664" t="s">
        <v>1191</v>
      </c>
      <c r="B664" t="str">
        <f t="shared" si="10"/>
        <v>Wikirate International e.V.+Data license typeGelsenwasser</v>
      </c>
      <c r="C664" t="s">
        <v>1143</v>
      </c>
      <c r="D664" t="s">
        <v>29</v>
      </c>
      <c r="E664">
        <v>2024</v>
      </c>
      <c r="F664" t="s">
        <v>1144</v>
      </c>
      <c r="G664" t="s">
        <v>30</v>
      </c>
      <c r="H664">
        <v>22247821</v>
      </c>
      <c r="J664">
        <v>1</v>
      </c>
    </row>
    <row r="665" spans="1:11">
      <c r="A665" t="s">
        <v>1192</v>
      </c>
      <c r="B665" t="str">
        <f t="shared" si="10"/>
        <v>Wikirate International e.V.+Data license typeWacker Chemie</v>
      </c>
      <c r="C665" t="s">
        <v>1143</v>
      </c>
      <c r="D665" t="s">
        <v>24</v>
      </c>
      <c r="E665">
        <v>2024</v>
      </c>
      <c r="F665" t="s">
        <v>1144</v>
      </c>
      <c r="G665" t="s">
        <v>25</v>
      </c>
      <c r="H665">
        <v>22249927</v>
      </c>
      <c r="I665" t="s">
        <v>26</v>
      </c>
      <c r="J665">
        <v>1</v>
      </c>
    </row>
    <row r="666" spans="1:11">
      <c r="A666" t="s">
        <v>1193</v>
      </c>
      <c r="B666" t="str">
        <f t="shared" si="10"/>
        <v>Wikirate International e.V.+Data license typeTh√ºga Holding</v>
      </c>
      <c r="C666" t="s">
        <v>1143</v>
      </c>
      <c r="D666" t="s">
        <v>20</v>
      </c>
      <c r="E666">
        <v>2024</v>
      </c>
      <c r="F666" t="s">
        <v>1144</v>
      </c>
      <c r="G666" t="s">
        <v>1531</v>
      </c>
      <c r="H666">
        <v>22250799</v>
      </c>
      <c r="J666">
        <v>1</v>
      </c>
    </row>
    <row r="667" spans="1:11">
      <c r="A667" t="s">
        <v>1194</v>
      </c>
      <c r="B667" t="str">
        <f t="shared" si="10"/>
        <v>Wikirate International e.V.+Double materiality assessmentMercedes-Benz AG</v>
      </c>
      <c r="C667" t="s">
        <v>1195</v>
      </c>
      <c r="D667" t="s">
        <v>102</v>
      </c>
      <c r="E667">
        <v>2024</v>
      </c>
      <c r="F667" t="s">
        <v>15</v>
      </c>
      <c r="G667" t="s">
        <v>249</v>
      </c>
      <c r="H667">
        <v>22197745</v>
      </c>
      <c r="I667" t="s">
        <v>250</v>
      </c>
      <c r="J667">
        <v>1</v>
      </c>
      <c r="K667" t="s">
        <v>1196</v>
      </c>
    </row>
    <row r="668" spans="1:11">
      <c r="A668" t="s">
        <v>1197</v>
      </c>
      <c r="B668" t="str">
        <f t="shared" si="10"/>
        <v>Wikirate International e.V.+Double materiality assessmentVolkswagen AG</v>
      </c>
      <c r="C668" t="s">
        <v>1195</v>
      </c>
      <c r="D668" t="s">
        <v>112</v>
      </c>
      <c r="E668">
        <v>2024</v>
      </c>
      <c r="F668" t="s">
        <v>15</v>
      </c>
      <c r="G668" t="s">
        <v>342</v>
      </c>
      <c r="H668">
        <v>22204230</v>
      </c>
      <c r="I668" t="s">
        <v>343</v>
      </c>
      <c r="J668">
        <v>1</v>
      </c>
      <c r="K668" t="s">
        <v>1198</v>
      </c>
    </row>
    <row r="669" spans="1:11">
      <c r="A669" t="s">
        <v>1199</v>
      </c>
      <c r="B669" t="str">
        <f t="shared" si="10"/>
        <v>Wikirate International e.V.+Double materiality assessmentBMW AG</v>
      </c>
      <c r="C669" t="s">
        <v>1195</v>
      </c>
      <c r="D669" t="s">
        <v>92</v>
      </c>
      <c r="E669">
        <v>2024</v>
      </c>
      <c r="F669" t="s">
        <v>15</v>
      </c>
      <c r="G669" t="s">
        <v>329</v>
      </c>
      <c r="H669">
        <v>22204414</v>
      </c>
      <c r="I669" t="s">
        <v>330</v>
      </c>
      <c r="J669">
        <v>1</v>
      </c>
      <c r="K669" t="s">
        <v>1200</v>
      </c>
    </row>
    <row r="670" spans="1:11">
      <c r="A670" t="s">
        <v>1201</v>
      </c>
      <c r="B670" t="str">
        <f t="shared" si="10"/>
        <v>Wikirate International e.V.+Double materiality assessmentJenoptik AG</v>
      </c>
      <c r="C670" t="s">
        <v>1195</v>
      </c>
      <c r="D670" t="s">
        <v>123</v>
      </c>
      <c r="E670">
        <v>2024</v>
      </c>
      <c r="F670" t="s">
        <v>15</v>
      </c>
      <c r="G670" t="s">
        <v>261</v>
      </c>
      <c r="H670">
        <v>22205773</v>
      </c>
      <c r="J670">
        <v>1</v>
      </c>
      <c r="K670" t="s">
        <v>1202</v>
      </c>
    </row>
    <row r="671" spans="1:11">
      <c r="A671" t="s">
        <v>1203</v>
      </c>
      <c r="B671" t="str">
        <f t="shared" si="10"/>
        <v>Wikirate International e.V.+Double materiality assessmentContinental AG</v>
      </c>
      <c r="C671" t="s">
        <v>1195</v>
      </c>
      <c r="D671" t="s">
        <v>126</v>
      </c>
      <c r="E671">
        <v>2024</v>
      </c>
      <c r="F671" t="s">
        <v>15</v>
      </c>
      <c r="G671" t="s">
        <v>353</v>
      </c>
      <c r="H671">
        <v>22205825</v>
      </c>
      <c r="I671" t="s">
        <v>354</v>
      </c>
      <c r="J671">
        <v>1</v>
      </c>
      <c r="K671" t="s">
        <v>1204</v>
      </c>
    </row>
    <row r="672" spans="1:11">
      <c r="A672" t="s">
        <v>1205</v>
      </c>
      <c r="B672" t="str">
        <f t="shared" si="10"/>
        <v>Wikirate International e.V.+Double materiality assessmentHelm AG</v>
      </c>
      <c r="C672" t="s">
        <v>1195</v>
      </c>
      <c r="D672" t="s">
        <v>132</v>
      </c>
      <c r="E672">
        <v>2024</v>
      </c>
      <c r="F672" t="s">
        <v>15</v>
      </c>
      <c r="G672" t="s">
        <v>268</v>
      </c>
      <c r="H672">
        <v>22205907</v>
      </c>
      <c r="J672">
        <v>1</v>
      </c>
      <c r="K672" t="s">
        <v>1206</v>
      </c>
    </row>
    <row r="673" spans="1:11">
      <c r="A673" t="s">
        <v>1207</v>
      </c>
      <c r="B673" t="str">
        <f t="shared" si="10"/>
        <v>Wikirate International e.V.+Double materiality assessmentSiemens AG</v>
      </c>
      <c r="C673" t="s">
        <v>1195</v>
      </c>
      <c r="D673" t="s">
        <v>148</v>
      </c>
      <c r="E673">
        <v>2024</v>
      </c>
      <c r="F673" t="s">
        <v>15</v>
      </c>
      <c r="G673" t="s">
        <v>270</v>
      </c>
      <c r="H673">
        <v>22206466</v>
      </c>
      <c r="J673">
        <v>1</v>
      </c>
      <c r="K673" t="s">
        <v>1608</v>
      </c>
    </row>
    <row r="674" spans="1:11">
      <c r="A674" t="s">
        <v>1208</v>
      </c>
      <c r="B674" t="str">
        <f t="shared" si="10"/>
        <v>Wikirate International e.V.+Double materiality assessmentThyssenKrupp Group</v>
      </c>
      <c r="C674" t="s">
        <v>1195</v>
      </c>
      <c r="D674" t="s">
        <v>129</v>
      </c>
      <c r="E674">
        <v>2024</v>
      </c>
      <c r="F674" t="s">
        <v>21</v>
      </c>
      <c r="G674" t="s">
        <v>265</v>
      </c>
      <c r="H674">
        <v>22206548</v>
      </c>
      <c r="I674" t="s">
        <v>266</v>
      </c>
      <c r="J674">
        <v>1</v>
      </c>
    </row>
    <row r="675" spans="1:11">
      <c r="A675" t="s">
        <v>1209</v>
      </c>
      <c r="B675" t="str">
        <f t="shared" si="10"/>
        <v>Wikirate International e.V.+Double materiality assessmentRobert Bosch GmbH</v>
      </c>
      <c r="C675" t="s">
        <v>1195</v>
      </c>
      <c r="D675" t="s">
        <v>138</v>
      </c>
      <c r="E675">
        <v>2024</v>
      </c>
      <c r="F675" t="s">
        <v>15</v>
      </c>
      <c r="G675" t="s">
        <v>273</v>
      </c>
      <c r="H675">
        <v>22208613</v>
      </c>
      <c r="I675" t="s">
        <v>274</v>
      </c>
      <c r="J675">
        <v>1</v>
      </c>
      <c r="K675" t="s">
        <v>1210</v>
      </c>
    </row>
    <row r="676" spans="1:11">
      <c r="A676" t="s">
        <v>1211</v>
      </c>
      <c r="B676" t="str">
        <f t="shared" si="10"/>
        <v>Wikirate International e.V.+Double materiality assessmentGEA Group</v>
      </c>
      <c r="C676" t="s">
        <v>1195</v>
      </c>
      <c r="D676" t="s">
        <v>135</v>
      </c>
      <c r="E676">
        <v>2024</v>
      </c>
      <c r="F676" t="s">
        <v>15</v>
      </c>
      <c r="G676" t="s">
        <v>360</v>
      </c>
      <c r="H676">
        <v>22208625</v>
      </c>
      <c r="J676">
        <v>1</v>
      </c>
      <c r="K676" t="s">
        <v>1212</v>
      </c>
    </row>
    <row r="677" spans="1:11">
      <c r="A677" t="s">
        <v>1213</v>
      </c>
      <c r="B677" t="str">
        <f t="shared" si="10"/>
        <v>Wikirate International e.V.+Double materiality assessmentMahle GmbH</v>
      </c>
      <c r="C677" t="s">
        <v>1195</v>
      </c>
      <c r="D677" t="s">
        <v>142</v>
      </c>
      <c r="E677">
        <v>2024</v>
      </c>
      <c r="F677" t="s">
        <v>21</v>
      </c>
      <c r="G677" t="s">
        <v>276</v>
      </c>
      <c r="H677">
        <v>22208739</v>
      </c>
      <c r="J677">
        <v>1</v>
      </c>
      <c r="K677" t="s">
        <v>1214</v>
      </c>
    </row>
    <row r="678" spans="1:11">
      <c r="A678" t="s">
        <v>1215</v>
      </c>
      <c r="B678" t="str">
        <f t="shared" si="10"/>
        <v>Wikirate International e.V.+Double materiality assessmentVoith</v>
      </c>
      <c r="C678" t="s">
        <v>1195</v>
      </c>
      <c r="D678" t="s">
        <v>145</v>
      </c>
      <c r="E678">
        <v>2024</v>
      </c>
      <c r="F678" t="s">
        <v>15</v>
      </c>
      <c r="G678" t="s">
        <v>278</v>
      </c>
      <c r="H678">
        <v>22209011</v>
      </c>
      <c r="I678" t="s">
        <v>279</v>
      </c>
      <c r="J678">
        <v>1</v>
      </c>
      <c r="K678" t="s">
        <v>1216</v>
      </c>
    </row>
    <row r="679" spans="1:11">
      <c r="A679" t="s">
        <v>1217</v>
      </c>
      <c r="B679" t="str">
        <f t="shared" si="10"/>
        <v>Wikirate International e.V.+Double materiality assessmentZF Friedrichshafen</v>
      </c>
      <c r="C679" t="s">
        <v>1195</v>
      </c>
      <c r="D679" t="s">
        <v>152</v>
      </c>
      <c r="E679">
        <v>2024</v>
      </c>
      <c r="F679" t="s">
        <v>15</v>
      </c>
      <c r="G679" t="s">
        <v>283</v>
      </c>
      <c r="H679">
        <v>22209288</v>
      </c>
      <c r="J679">
        <v>1</v>
      </c>
      <c r="K679" t="s">
        <v>1218</v>
      </c>
    </row>
    <row r="680" spans="1:11">
      <c r="A680" t="s">
        <v>1219</v>
      </c>
      <c r="B680" t="str">
        <f t="shared" si="10"/>
        <v>Wikirate International e.V.+Double materiality assessmentSchaeffler Technologies</v>
      </c>
      <c r="C680" t="s">
        <v>1195</v>
      </c>
      <c r="D680" t="s">
        <v>1618</v>
      </c>
      <c r="E680">
        <v>2024</v>
      </c>
      <c r="F680" t="s">
        <v>15</v>
      </c>
      <c r="G680" t="s">
        <v>281</v>
      </c>
      <c r="H680">
        <v>22209382</v>
      </c>
      <c r="J680">
        <v>1</v>
      </c>
      <c r="K680" t="s">
        <v>1609</v>
      </c>
    </row>
    <row r="681" spans="1:11">
      <c r="A681" t="s">
        <v>1220</v>
      </c>
      <c r="B681" t="str">
        <f t="shared" si="10"/>
        <v>Wikirate International e.V.+Double materiality assessmentJungheinrich AG</v>
      </c>
      <c r="C681" t="s">
        <v>1195</v>
      </c>
      <c r="D681" t="s">
        <v>155</v>
      </c>
      <c r="E681">
        <v>2024</v>
      </c>
      <c r="F681" t="s">
        <v>15</v>
      </c>
      <c r="G681" t="s">
        <v>285</v>
      </c>
      <c r="H681">
        <v>22209416</v>
      </c>
      <c r="J681">
        <v>1</v>
      </c>
      <c r="K681" t="s">
        <v>1221</v>
      </c>
    </row>
    <row r="682" spans="1:11">
      <c r="A682" t="s">
        <v>1222</v>
      </c>
      <c r="B682" t="str">
        <f t="shared" si="10"/>
        <v>Wikirate International e.V.+Double materiality assessmentD√ºrr Group</v>
      </c>
      <c r="C682" t="s">
        <v>1195</v>
      </c>
      <c r="D682" t="s">
        <v>191</v>
      </c>
      <c r="E682">
        <v>2024</v>
      </c>
      <c r="F682" t="s">
        <v>15</v>
      </c>
      <c r="G682" t="s">
        <v>299</v>
      </c>
      <c r="H682">
        <v>22210556</v>
      </c>
      <c r="I682" t="s">
        <v>300</v>
      </c>
      <c r="J682">
        <v>1</v>
      </c>
      <c r="K682" t="s">
        <v>1223</v>
      </c>
    </row>
    <row r="683" spans="1:11">
      <c r="A683" t="s">
        <v>1224</v>
      </c>
      <c r="B683" t="str">
        <f t="shared" si="10"/>
        <v>Wikirate International e.V.+Double materiality assessmentCovestro</v>
      </c>
      <c r="C683" t="s">
        <v>1195</v>
      </c>
      <c r="D683" t="s">
        <v>164</v>
      </c>
      <c r="E683">
        <v>2024</v>
      </c>
      <c r="F683" t="s">
        <v>15</v>
      </c>
      <c r="G683" t="s">
        <v>289</v>
      </c>
      <c r="H683">
        <v>22211089</v>
      </c>
      <c r="I683" t="s">
        <v>290</v>
      </c>
      <c r="J683">
        <v>1</v>
      </c>
      <c r="K683" t="s">
        <v>1225</v>
      </c>
    </row>
    <row r="684" spans="1:11">
      <c r="A684" t="s">
        <v>1226</v>
      </c>
      <c r="B684" t="str">
        <f t="shared" si="10"/>
        <v>Wikirate International e.V.+Double materiality assessmentDaimler Truck AG</v>
      </c>
      <c r="C684" t="s">
        <v>1195</v>
      </c>
      <c r="D684" t="s">
        <v>118</v>
      </c>
      <c r="E684">
        <v>2024</v>
      </c>
      <c r="F684" t="s">
        <v>15</v>
      </c>
      <c r="G684" t="s">
        <v>119</v>
      </c>
      <c r="H684">
        <v>22211374</v>
      </c>
      <c r="I684" t="s">
        <v>120</v>
      </c>
      <c r="J684">
        <v>1</v>
      </c>
      <c r="K684" t="s">
        <v>1227</v>
      </c>
    </row>
    <row r="685" spans="1:11">
      <c r="A685" t="s">
        <v>1228</v>
      </c>
      <c r="B685" t="str">
        <f t="shared" si="10"/>
        <v>Wikirate International e.V.+Double materiality assessmentKrones AG</v>
      </c>
      <c r="C685" t="s">
        <v>1195</v>
      </c>
      <c r="D685" t="s">
        <v>168</v>
      </c>
      <c r="E685">
        <v>2024</v>
      </c>
      <c r="F685" t="s">
        <v>15</v>
      </c>
      <c r="G685" t="s">
        <v>371</v>
      </c>
      <c r="H685">
        <v>22211622</v>
      </c>
      <c r="J685">
        <v>1</v>
      </c>
      <c r="K685" t="s">
        <v>1229</v>
      </c>
    </row>
    <row r="686" spans="1:11">
      <c r="A686" t="s">
        <v>1230</v>
      </c>
      <c r="B686" t="str">
        <f t="shared" si="10"/>
        <v>Wikirate International e.V.+Double materiality assessmentHenkel AG &amp; Co. KGaA</v>
      </c>
      <c r="C686" t="s">
        <v>1195</v>
      </c>
      <c r="D686" t="s">
        <v>172</v>
      </c>
      <c r="E686">
        <v>2024</v>
      </c>
      <c r="F686" t="s">
        <v>15</v>
      </c>
      <c r="G686" t="s">
        <v>374</v>
      </c>
      <c r="H686">
        <v>22211729</v>
      </c>
      <c r="I686" t="s">
        <v>375</v>
      </c>
      <c r="J686">
        <v>1</v>
      </c>
      <c r="K686" t="s">
        <v>1231</v>
      </c>
    </row>
    <row r="687" spans="1:11">
      <c r="A687" t="s">
        <v>1232</v>
      </c>
      <c r="B687" t="str">
        <f t="shared" si="10"/>
        <v>Wikirate International e.V.+Double materiality assessmentEnBW-Energie Baden-Wuerttemberg</v>
      </c>
      <c r="C687" t="s">
        <v>1195</v>
      </c>
      <c r="D687" t="s">
        <v>177</v>
      </c>
      <c r="E687">
        <v>2024</v>
      </c>
      <c r="F687" t="s">
        <v>15</v>
      </c>
      <c r="G687" t="s">
        <v>377</v>
      </c>
      <c r="H687">
        <v>22218201</v>
      </c>
      <c r="J687">
        <v>1</v>
      </c>
      <c r="K687" t="s">
        <v>1233</v>
      </c>
    </row>
    <row r="688" spans="1:11">
      <c r="A688" t="s">
        <v>1234</v>
      </c>
      <c r="B688" t="str">
        <f t="shared" si="10"/>
        <v>Wikirate International e.V.+Double materiality assessmentHensoldt AG</v>
      </c>
      <c r="C688" t="s">
        <v>1195</v>
      </c>
      <c r="D688" t="s">
        <v>208</v>
      </c>
      <c r="E688">
        <v>2024</v>
      </c>
      <c r="F688" t="s">
        <v>15</v>
      </c>
      <c r="G688" t="s">
        <v>297</v>
      </c>
      <c r="H688">
        <v>22218238</v>
      </c>
      <c r="J688">
        <v>1</v>
      </c>
      <c r="K688" t="s">
        <v>1235</v>
      </c>
    </row>
    <row r="689" spans="1:11">
      <c r="A689" t="s">
        <v>1236</v>
      </c>
      <c r="B689" t="str">
        <f t="shared" si="10"/>
        <v>Wikirate International e.V.+Double materiality assessmentLanxess</v>
      </c>
      <c r="C689" t="s">
        <v>1195</v>
      </c>
      <c r="D689" t="s">
        <v>194</v>
      </c>
      <c r="E689">
        <v>2024</v>
      </c>
      <c r="F689" t="s">
        <v>15</v>
      </c>
      <c r="G689" t="s">
        <v>287</v>
      </c>
      <c r="H689">
        <v>22218700</v>
      </c>
      <c r="J689">
        <v>1</v>
      </c>
      <c r="K689" t="s">
        <v>1237</v>
      </c>
    </row>
    <row r="690" spans="1:11">
      <c r="A690" t="s">
        <v>1238</v>
      </c>
      <c r="B690" t="str">
        <f t="shared" si="10"/>
        <v>Wikirate International e.V.+Double materiality assessmentBASF SE</v>
      </c>
      <c r="C690" t="s">
        <v>1195</v>
      </c>
      <c r="D690" t="s">
        <v>108</v>
      </c>
      <c r="E690">
        <v>2024</v>
      </c>
      <c r="F690" t="s">
        <v>15</v>
      </c>
      <c r="G690" t="s">
        <v>339</v>
      </c>
      <c r="H690">
        <v>22218721</v>
      </c>
      <c r="I690" t="s">
        <v>340</v>
      </c>
      <c r="J690">
        <v>1</v>
      </c>
      <c r="K690" t="s">
        <v>1610</v>
      </c>
    </row>
    <row r="691" spans="1:11">
      <c r="A691" t="s">
        <v>1239</v>
      </c>
      <c r="B691" t="str">
        <f t="shared" si="10"/>
        <v>Wikirate International e.V.+Double materiality assessmentHELLA GMBH &amp; CO. KGAA</v>
      </c>
      <c r="C691" t="s">
        <v>1195</v>
      </c>
      <c r="D691" t="s">
        <v>187</v>
      </c>
      <c r="E691">
        <v>2024</v>
      </c>
      <c r="F691" t="s">
        <v>15</v>
      </c>
      <c r="G691" t="s">
        <v>384</v>
      </c>
      <c r="H691">
        <v>22218851</v>
      </c>
      <c r="J691">
        <v>1</v>
      </c>
      <c r="K691" t="s">
        <v>1240</v>
      </c>
    </row>
    <row r="692" spans="1:11">
      <c r="A692" t="s">
        <v>1241</v>
      </c>
      <c r="B692" t="str">
        <f t="shared" si="10"/>
        <v>Wikirate International e.V.+Double materiality assessmentDeere &amp; Co</v>
      </c>
      <c r="C692" t="s">
        <v>1195</v>
      </c>
      <c r="D692" t="s">
        <v>197</v>
      </c>
      <c r="E692">
        <v>2024</v>
      </c>
      <c r="F692" t="s">
        <v>21</v>
      </c>
      <c r="G692" t="s">
        <v>303</v>
      </c>
      <c r="H692">
        <v>22218951</v>
      </c>
      <c r="J692">
        <v>1</v>
      </c>
      <c r="K692" t="s">
        <v>1242</v>
      </c>
    </row>
    <row r="693" spans="1:11">
      <c r="A693" t="s">
        <v>1243</v>
      </c>
      <c r="B693" t="str">
        <f t="shared" si="10"/>
        <v>Wikirate International e.V.+Double materiality assessmentAmprion GmbH</v>
      </c>
      <c r="C693" t="s">
        <v>1195</v>
      </c>
      <c r="D693" t="s">
        <v>182</v>
      </c>
      <c r="E693">
        <v>2024</v>
      </c>
      <c r="F693" t="s">
        <v>21</v>
      </c>
      <c r="G693" t="s">
        <v>389</v>
      </c>
      <c r="H693">
        <v>22219026</v>
      </c>
      <c r="J693">
        <v>1</v>
      </c>
    </row>
    <row r="694" spans="1:11">
      <c r="A694" t="s">
        <v>1244</v>
      </c>
      <c r="B694" t="str">
        <f t="shared" si="10"/>
        <v>Wikirate International e.V.+Double materiality assessmentBoehringer Ingelheim GmbH</v>
      </c>
      <c r="C694" t="s">
        <v>1195</v>
      </c>
      <c r="D694" t="s">
        <v>201</v>
      </c>
      <c r="E694">
        <v>2024</v>
      </c>
      <c r="F694" t="s">
        <v>21</v>
      </c>
      <c r="G694" t="s">
        <v>306</v>
      </c>
      <c r="H694">
        <v>22219150</v>
      </c>
      <c r="J694">
        <v>1</v>
      </c>
    </row>
    <row r="695" spans="1:11">
      <c r="A695" t="s">
        <v>1245</v>
      </c>
      <c r="B695" t="str">
        <f t="shared" si="10"/>
        <v>Wikirate International e.V.+Double materiality assessmentBayer AG</v>
      </c>
      <c r="C695" t="s">
        <v>1195</v>
      </c>
      <c r="D695" t="s">
        <v>87</v>
      </c>
      <c r="E695">
        <v>2024</v>
      </c>
      <c r="F695" t="s">
        <v>15</v>
      </c>
      <c r="G695" t="s">
        <v>88</v>
      </c>
      <c r="H695">
        <v>22219227</v>
      </c>
      <c r="J695">
        <v>1</v>
      </c>
      <c r="K695" t="s">
        <v>1246</v>
      </c>
    </row>
    <row r="696" spans="1:11">
      <c r="A696" t="s">
        <v>1247</v>
      </c>
      <c r="B696" t="str">
        <f t="shared" si="10"/>
        <v>Wikirate International e.V.+Double materiality assessmentRWE Group</v>
      </c>
      <c r="C696" t="s">
        <v>1195</v>
      </c>
      <c r="D696" t="s">
        <v>14</v>
      </c>
      <c r="E696">
        <v>2024</v>
      </c>
      <c r="F696" t="s">
        <v>15</v>
      </c>
      <c r="G696" t="s">
        <v>16</v>
      </c>
      <c r="H696">
        <v>22219319</v>
      </c>
      <c r="I696" t="s">
        <v>17</v>
      </c>
      <c r="J696">
        <v>1</v>
      </c>
      <c r="K696" t="s">
        <v>1248</v>
      </c>
    </row>
    <row r="697" spans="1:11">
      <c r="A697" t="s">
        <v>1249</v>
      </c>
      <c r="B697" t="str">
        <f t="shared" si="10"/>
        <v>Wikirate International e.V.+Double materiality assessmentRheinmetall AG</v>
      </c>
      <c r="C697" t="s">
        <v>1195</v>
      </c>
      <c r="D697" t="s">
        <v>79</v>
      </c>
      <c r="E697">
        <v>2024</v>
      </c>
      <c r="F697" t="s">
        <v>15</v>
      </c>
      <c r="G697" t="s">
        <v>80</v>
      </c>
      <c r="H697">
        <v>22219855</v>
      </c>
      <c r="J697">
        <v>1</v>
      </c>
      <c r="K697" t="s">
        <v>1250</v>
      </c>
    </row>
    <row r="698" spans="1:11">
      <c r="A698" t="s">
        <v>1251</v>
      </c>
      <c r="B698" t="str">
        <f t="shared" si="10"/>
        <v>Wikirate International e.V.+Double materiality assessmentUniper SE</v>
      </c>
      <c r="C698" t="s">
        <v>1195</v>
      </c>
      <c r="D698" t="s">
        <v>83</v>
      </c>
      <c r="E698">
        <v>2024</v>
      </c>
      <c r="F698" t="s">
        <v>15</v>
      </c>
      <c r="G698" t="s">
        <v>84</v>
      </c>
      <c r="H698">
        <v>22219875</v>
      </c>
      <c r="J698">
        <v>1</v>
      </c>
      <c r="K698" t="s">
        <v>1252</v>
      </c>
    </row>
    <row r="699" spans="1:11">
      <c r="A699" t="s">
        <v>1253</v>
      </c>
      <c r="B699" t="str">
        <f t="shared" si="10"/>
        <v>Wikirate International e.V.+Double materiality assessmentAirbus Group</v>
      </c>
      <c r="C699" t="s">
        <v>1195</v>
      </c>
      <c r="D699" t="s">
        <v>74</v>
      </c>
      <c r="E699">
        <v>2024</v>
      </c>
      <c r="F699" t="s">
        <v>15</v>
      </c>
      <c r="G699" t="s">
        <v>75</v>
      </c>
      <c r="H699">
        <v>22245910</v>
      </c>
      <c r="I699" t="s">
        <v>76</v>
      </c>
      <c r="J699">
        <v>1</v>
      </c>
      <c r="K699" t="s">
        <v>1254</v>
      </c>
    </row>
    <row r="700" spans="1:11">
      <c r="A700" t="s">
        <v>1255</v>
      </c>
      <c r="B700" t="str">
        <f t="shared" si="10"/>
        <v>Wikirate International e.V.+Double materiality assessmentSiemens Energy AG</v>
      </c>
      <c r="C700" t="s">
        <v>1195</v>
      </c>
      <c r="D700" t="s">
        <v>71</v>
      </c>
      <c r="E700">
        <v>2024</v>
      </c>
      <c r="F700" t="s">
        <v>21</v>
      </c>
      <c r="G700" t="s">
        <v>72</v>
      </c>
      <c r="H700">
        <v>22246045</v>
      </c>
      <c r="J700">
        <v>1</v>
      </c>
    </row>
    <row r="701" spans="1:11">
      <c r="A701" t="s">
        <v>1256</v>
      </c>
      <c r="B701" t="str">
        <f t="shared" si="10"/>
        <v>Wikirate International e.V.+Double materiality assessment50Hertz Transmission</v>
      </c>
      <c r="C701" t="s">
        <v>1195</v>
      </c>
      <c r="D701" t="s">
        <v>68</v>
      </c>
      <c r="E701">
        <v>2024</v>
      </c>
      <c r="F701" t="s">
        <v>15</v>
      </c>
      <c r="G701" t="s">
        <v>69</v>
      </c>
      <c r="H701">
        <v>22246130</v>
      </c>
      <c r="J701">
        <v>1</v>
      </c>
    </row>
    <row r="702" spans="1:11">
      <c r="A702" t="s">
        <v>1257</v>
      </c>
      <c r="B702" t="str">
        <f t="shared" si="10"/>
        <v>Wikirate International e.V.+Double materiality assessmentKION Group</v>
      </c>
      <c r="C702" t="s">
        <v>1195</v>
      </c>
      <c r="D702" t="s">
        <v>65</v>
      </c>
      <c r="E702">
        <v>2024</v>
      </c>
      <c r="F702" t="s">
        <v>15</v>
      </c>
      <c r="G702" t="s">
        <v>66</v>
      </c>
      <c r="H702">
        <v>22246314</v>
      </c>
      <c r="J702">
        <v>1</v>
      </c>
      <c r="K702" t="s">
        <v>1258</v>
      </c>
    </row>
    <row r="703" spans="1:11">
      <c r="A703" t="s">
        <v>1259</v>
      </c>
      <c r="B703" t="str">
        <f t="shared" si="10"/>
        <v>Wikirate International e.V.+Double materiality assessmentStadtwerke Munchen GmbH</v>
      </c>
      <c r="C703" t="s">
        <v>1195</v>
      </c>
      <c r="D703" t="s">
        <v>61</v>
      </c>
      <c r="E703">
        <v>2024</v>
      </c>
      <c r="F703" t="s">
        <v>21</v>
      </c>
      <c r="G703" t="s">
        <v>62</v>
      </c>
      <c r="H703">
        <v>22246419</v>
      </c>
      <c r="J703">
        <v>1</v>
      </c>
      <c r="K703" t="s">
        <v>1260</v>
      </c>
    </row>
    <row r="704" spans="1:11">
      <c r="A704" t="s">
        <v>1261</v>
      </c>
      <c r="B704" t="str">
        <f t="shared" si="10"/>
        <v>Wikirate International e.V.+Double materiality assessmentE.ON SE</v>
      </c>
      <c r="C704" t="s">
        <v>1195</v>
      </c>
      <c r="D704" t="s">
        <v>57</v>
      </c>
      <c r="E704">
        <v>2024</v>
      </c>
      <c r="F704" t="s">
        <v>15</v>
      </c>
      <c r="G704" t="s">
        <v>58</v>
      </c>
      <c r="H704">
        <v>22246459</v>
      </c>
      <c r="J704">
        <v>1</v>
      </c>
      <c r="K704" t="s">
        <v>1262</v>
      </c>
    </row>
    <row r="705" spans="1:11">
      <c r="A705" t="s">
        <v>1263</v>
      </c>
      <c r="B705" t="str">
        <f t="shared" si="10"/>
        <v>Wikirate International e.V.+Double materiality assessmentDiehl Stiftung &amp; Co. KG</v>
      </c>
      <c r="C705" t="s">
        <v>1195</v>
      </c>
      <c r="D705" t="s">
        <v>53</v>
      </c>
      <c r="E705">
        <v>2024</v>
      </c>
      <c r="F705" t="s">
        <v>15</v>
      </c>
      <c r="G705" t="s">
        <v>54</v>
      </c>
      <c r="H705">
        <v>22246657</v>
      </c>
      <c r="J705">
        <v>1</v>
      </c>
      <c r="K705" t="s">
        <v>1264</v>
      </c>
    </row>
    <row r="706" spans="1:11">
      <c r="A706" t="s">
        <v>1265</v>
      </c>
      <c r="B706" t="str">
        <f t="shared" si="10"/>
        <v>Wikirate International e.V.+Double materiality assessmentMerck KGaA</v>
      </c>
      <c r="C706" t="s">
        <v>1195</v>
      </c>
      <c r="D706" t="s">
        <v>49</v>
      </c>
      <c r="E706">
        <v>2024</v>
      </c>
      <c r="F706" t="s">
        <v>15</v>
      </c>
      <c r="G706" t="s">
        <v>50</v>
      </c>
      <c r="H706">
        <v>22246793</v>
      </c>
      <c r="J706">
        <v>1</v>
      </c>
      <c r="K706" t="s">
        <v>1266</v>
      </c>
    </row>
    <row r="707" spans="1:11">
      <c r="A707" t="s">
        <v>1267</v>
      </c>
      <c r="B707" t="str">
        <f t="shared" si="10"/>
        <v>Wikirate International e.V.+Double materiality assessmentEvonik</v>
      </c>
      <c r="C707" t="s">
        <v>1195</v>
      </c>
      <c r="D707" t="s">
        <v>45</v>
      </c>
      <c r="E707">
        <v>2024</v>
      </c>
      <c r="F707" t="s">
        <v>15</v>
      </c>
      <c r="G707" t="s">
        <v>46</v>
      </c>
      <c r="H707">
        <v>22246925</v>
      </c>
      <c r="J707">
        <v>1</v>
      </c>
      <c r="K707" t="s">
        <v>1268</v>
      </c>
    </row>
    <row r="708" spans="1:11">
      <c r="A708" t="s">
        <v>1269</v>
      </c>
      <c r="B708" t="str">
        <f t="shared" si="10"/>
        <v>Wikirate International e.V.+Double materiality assessmentKNDS Group</v>
      </c>
      <c r="C708" t="s">
        <v>1195</v>
      </c>
      <c r="D708" t="s">
        <v>42</v>
      </c>
      <c r="E708">
        <v>2024</v>
      </c>
      <c r="F708" t="s">
        <v>21</v>
      </c>
      <c r="G708" t="s">
        <v>43</v>
      </c>
      <c r="H708">
        <v>22247040</v>
      </c>
      <c r="J708">
        <v>1</v>
      </c>
    </row>
    <row r="709" spans="1:11">
      <c r="A709" t="s">
        <v>1270</v>
      </c>
      <c r="B709" t="str">
        <f t="shared" si="10"/>
        <v>Wikirate International e.V.+Double materiality assessmentLockheed Martin</v>
      </c>
      <c r="C709" t="s">
        <v>1195</v>
      </c>
      <c r="D709" t="s">
        <v>38</v>
      </c>
      <c r="E709">
        <v>2024</v>
      </c>
      <c r="F709" t="s">
        <v>15</v>
      </c>
      <c r="G709" t="s">
        <v>39</v>
      </c>
      <c r="H709">
        <v>22247115</v>
      </c>
      <c r="J709">
        <v>1</v>
      </c>
      <c r="K709" t="s">
        <v>1271</v>
      </c>
    </row>
    <row r="710" spans="1:11">
      <c r="A710" t="s">
        <v>1272</v>
      </c>
      <c r="B710" t="str">
        <f t="shared" si="10"/>
        <v>Wikirate International e.V.+Double materiality assessmentLeonardo</v>
      </c>
      <c r="C710" t="s">
        <v>1195</v>
      </c>
      <c r="D710" t="s">
        <v>33</v>
      </c>
      <c r="E710">
        <v>2024</v>
      </c>
      <c r="F710" t="s">
        <v>15</v>
      </c>
      <c r="G710" t="s">
        <v>34</v>
      </c>
      <c r="H710">
        <v>22247391</v>
      </c>
      <c r="I710" t="s">
        <v>35</v>
      </c>
      <c r="J710">
        <v>1</v>
      </c>
      <c r="K710" t="s">
        <v>1273</v>
      </c>
    </row>
    <row r="711" spans="1:11">
      <c r="A711" t="s">
        <v>1274</v>
      </c>
      <c r="B711" t="str">
        <f t="shared" ref="B711:B774" si="11">C711&amp;D711</f>
        <v>Wikirate International e.V.+Double materiality assessmentGelsenwasser</v>
      </c>
      <c r="C711" t="s">
        <v>1195</v>
      </c>
      <c r="D711" t="s">
        <v>29</v>
      </c>
      <c r="E711">
        <v>2024</v>
      </c>
      <c r="F711" t="s">
        <v>15</v>
      </c>
      <c r="G711" t="s">
        <v>30</v>
      </c>
      <c r="H711">
        <v>22247826</v>
      </c>
      <c r="J711">
        <v>1</v>
      </c>
      <c r="K711" t="s">
        <v>1275</v>
      </c>
    </row>
    <row r="712" spans="1:11">
      <c r="A712" t="s">
        <v>1276</v>
      </c>
      <c r="B712" t="str">
        <f t="shared" si="11"/>
        <v>Wikirate International e.V.+Double materiality assessmentWacker Chemie</v>
      </c>
      <c r="C712" t="s">
        <v>1195</v>
      </c>
      <c r="D712" t="s">
        <v>24</v>
      </c>
      <c r="E712">
        <v>2024</v>
      </c>
      <c r="F712" t="s">
        <v>15</v>
      </c>
      <c r="G712" t="s">
        <v>25</v>
      </c>
      <c r="H712">
        <v>22249933</v>
      </c>
      <c r="I712" t="s">
        <v>26</v>
      </c>
      <c r="J712">
        <v>1</v>
      </c>
      <c r="K712" t="s">
        <v>1277</v>
      </c>
    </row>
    <row r="713" spans="1:11">
      <c r="A713" t="s">
        <v>1278</v>
      </c>
      <c r="B713" t="str">
        <f t="shared" si="11"/>
        <v>Wikirate International e.V.+Double materiality assessmentTh√ºga Holding</v>
      </c>
      <c r="C713" t="s">
        <v>1195</v>
      </c>
      <c r="D713" t="s">
        <v>20</v>
      </c>
      <c r="E713">
        <v>2024</v>
      </c>
      <c r="F713" t="s">
        <v>15</v>
      </c>
      <c r="G713" t="s">
        <v>1531</v>
      </c>
      <c r="H713">
        <v>22250804</v>
      </c>
      <c r="J713">
        <v>1</v>
      </c>
      <c r="K713" t="s">
        <v>1611</v>
      </c>
    </row>
    <row r="714" spans="1:11">
      <c r="A714" t="s">
        <v>1279</v>
      </c>
      <c r="B714" t="str">
        <f t="shared" si="11"/>
        <v>Wikirate International e.V.+Lobbying budget disclosedMercedes-Benz AG</v>
      </c>
      <c r="C714" t="s">
        <v>1280</v>
      </c>
      <c r="D714" t="s">
        <v>102</v>
      </c>
      <c r="E714">
        <v>2024</v>
      </c>
      <c r="F714" t="s">
        <v>15</v>
      </c>
      <c r="G714" t="s">
        <v>249</v>
      </c>
      <c r="H714">
        <v>22197675</v>
      </c>
      <c r="I714" t="s">
        <v>250</v>
      </c>
      <c r="J714">
        <v>1</v>
      </c>
      <c r="K714" t="s">
        <v>1281</v>
      </c>
    </row>
    <row r="715" spans="1:11">
      <c r="A715" t="s">
        <v>1282</v>
      </c>
      <c r="B715" t="str">
        <f t="shared" si="11"/>
        <v>Wikirate International e.V.+Lobbying budget disclosedVolkswagen AG</v>
      </c>
      <c r="C715" t="s">
        <v>1280</v>
      </c>
      <c r="D715" t="s">
        <v>112</v>
      </c>
      <c r="E715">
        <v>2024</v>
      </c>
      <c r="F715" t="s">
        <v>15</v>
      </c>
      <c r="G715" t="s">
        <v>342</v>
      </c>
      <c r="H715">
        <v>22204265</v>
      </c>
      <c r="I715" t="s">
        <v>343</v>
      </c>
      <c r="J715">
        <v>1</v>
      </c>
      <c r="K715" t="s">
        <v>1283</v>
      </c>
    </row>
    <row r="716" spans="1:11">
      <c r="A716" t="s">
        <v>1284</v>
      </c>
      <c r="B716" t="str">
        <f t="shared" si="11"/>
        <v>Wikirate International e.V.+Lobbying budget disclosedBMW AG</v>
      </c>
      <c r="C716" t="s">
        <v>1280</v>
      </c>
      <c r="D716" t="s">
        <v>92</v>
      </c>
      <c r="E716">
        <v>2024</v>
      </c>
      <c r="F716" t="s">
        <v>15</v>
      </c>
      <c r="G716" t="s">
        <v>329</v>
      </c>
      <c r="H716">
        <v>22204454</v>
      </c>
      <c r="I716" t="s">
        <v>330</v>
      </c>
      <c r="J716">
        <v>1</v>
      </c>
      <c r="K716" t="s">
        <v>1285</v>
      </c>
    </row>
    <row r="717" spans="1:11">
      <c r="A717" t="s">
        <v>1286</v>
      </c>
      <c r="B717" t="str">
        <f t="shared" si="11"/>
        <v>Wikirate International e.V.+Lobbying budget disclosedJenoptik AG</v>
      </c>
      <c r="C717" t="s">
        <v>1280</v>
      </c>
      <c r="D717" t="s">
        <v>123</v>
      </c>
      <c r="E717">
        <v>2024</v>
      </c>
      <c r="F717" t="s">
        <v>21</v>
      </c>
      <c r="G717" t="s">
        <v>261</v>
      </c>
      <c r="H717">
        <v>22205782</v>
      </c>
      <c r="J717">
        <v>1</v>
      </c>
      <c r="K717" t="s">
        <v>1287</v>
      </c>
    </row>
    <row r="718" spans="1:11">
      <c r="A718" t="s">
        <v>1288</v>
      </c>
      <c r="B718" t="str">
        <f t="shared" si="11"/>
        <v>Wikirate International e.V.+Lobbying budget disclosedContinental AG</v>
      </c>
      <c r="C718" t="s">
        <v>1280</v>
      </c>
      <c r="D718" t="s">
        <v>126</v>
      </c>
      <c r="E718">
        <v>2024</v>
      </c>
      <c r="F718" t="s">
        <v>21</v>
      </c>
      <c r="G718" t="s">
        <v>353</v>
      </c>
      <c r="H718">
        <v>22205837</v>
      </c>
      <c r="I718" t="s">
        <v>354</v>
      </c>
      <c r="J718">
        <v>1</v>
      </c>
    </row>
    <row r="719" spans="1:11">
      <c r="A719" t="s">
        <v>1289</v>
      </c>
      <c r="B719" t="str">
        <f t="shared" si="11"/>
        <v>Wikirate International e.V.+Lobbying budget disclosedHelm AG</v>
      </c>
      <c r="C719" t="s">
        <v>1280</v>
      </c>
      <c r="D719" t="s">
        <v>132</v>
      </c>
      <c r="E719">
        <v>2024</v>
      </c>
      <c r="F719" t="s">
        <v>21</v>
      </c>
      <c r="G719" t="s">
        <v>268</v>
      </c>
      <c r="H719">
        <v>22205913</v>
      </c>
      <c r="J719">
        <v>1</v>
      </c>
      <c r="K719" t="s">
        <v>1290</v>
      </c>
    </row>
    <row r="720" spans="1:11">
      <c r="A720" t="s">
        <v>1291</v>
      </c>
      <c r="B720" t="str">
        <f t="shared" si="11"/>
        <v>Wikirate International e.V.+Lobbying budget disclosedSiemens AG</v>
      </c>
      <c r="C720" t="s">
        <v>1280</v>
      </c>
      <c r="D720" t="s">
        <v>148</v>
      </c>
      <c r="E720">
        <v>2024</v>
      </c>
      <c r="F720" t="s">
        <v>21</v>
      </c>
      <c r="G720" t="s">
        <v>270</v>
      </c>
      <c r="H720">
        <v>22206450</v>
      </c>
      <c r="J720">
        <v>1</v>
      </c>
      <c r="K720" t="s">
        <v>1292</v>
      </c>
    </row>
    <row r="721" spans="1:11">
      <c r="A721" t="s">
        <v>1293</v>
      </c>
      <c r="B721" t="str">
        <f t="shared" si="11"/>
        <v>Wikirate International e.V.+Lobbying budget disclosedThyssenKrupp Group</v>
      </c>
      <c r="C721" t="s">
        <v>1280</v>
      </c>
      <c r="D721" t="s">
        <v>129</v>
      </c>
      <c r="E721">
        <v>2024</v>
      </c>
      <c r="F721" t="s">
        <v>21</v>
      </c>
      <c r="G721" t="s">
        <v>265</v>
      </c>
      <c r="H721">
        <v>22206554</v>
      </c>
      <c r="I721" t="s">
        <v>266</v>
      </c>
      <c r="J721">
        <v>1</v>
      </c>
    </row>
    <row r="722" spans="1:11">
      <c r="A722" t="s">
        <v>1294</v>
      </c>
      <c r="B722" t="str">
        <f t="shared" si="11"/>
        <v>Wikirate International e.V.+Lobbying budget disclosedSchaeffler Technologies</v>
      </c>
      <c r="C722" t="s">
        <v>1280</v>
      </c>
      <c r="D722" t="s">
        <v>1618</v>
      </c>
      <c r="E722">
        <v>2024</v>
      </c>
      <c r="F722" t="s">
        <v>21</v>
      </c>
      <c r="G722" t="s">
        <v>281</v>
      </c>
      <c r="H722">
        <v>22207094</v>
      </c>
      <c r="J722">
        <v>1</v>
      </c>
    </row>
    <row r="723" spans="1:11">
      <c r="A723" t="s">
        <v>1295</v>
      </c>
      <c r="B723" t="str">
        <f t="shared" si="11"/>
        <v>Wikirate International e.V.+Lobbying budget disclosedRobert Bosch GmbH</v>
      </c>
      <c r="C723" t="s">
        <v>1280</v>
      </c>
      <c r="D723" t="s">
        <v>138</v>
      </c>
      <c r="E723">
        <v>2024</v>
      </c>
      <c r="F723" t="s">
        <v>21</v>
      </c>
      <c r="G723" t="s">
        <v>273</v>
      </c>
      <c r="H723">
        <v>22208619</v>
      </c>
      <c r="I723" t="s">
        <v>274</v>
      </c>
      <c r="J723">
        <v>1</v>
      </c>
      <c r="K723" t="s">
        <v>1296</v>
      </c>
    </row>
    <row r="724" spans="1:11">
      <c r="A724" t="s">
        <v>1297</v>
      </c>
      <c r="B724" t="str">
        <f t="shared" si="11"/>
        <v>Wikirate International e.V.+Lobbying budget disclosedGEA Group</v>
      </c>
      <c r="C724" t="s">
        <v>1280</v>
      </c>
      <c r="D724" t="s">
        <v>135</v>
      </c>
      <c r="E724">
        <v>2024</v>
      </c>
      <c r="F724" t="s">
        <v>15</v>
      </c>
      <c r="G724" t="s">
        <v>360</v>
      </c>
      <c r="H724">
        <v>22208660</v>
      </c>
      <c r="J724">
        <v>1</v>
      </c>
      <c r="K724" t="s">
        <v>1612</v>
      </c>
    </row>
    <row r="725" spans="1:11">
      <c r="A725" t="s">
        <v>1298</v>
      </c>
      <c r="B725" t="str">
        <f t="shared" si="11"/>
        <v>Wikirate International e.V.+Lobbying budget disclosedMahle GmbH</v>
      </c>
      <c r="C725" t="s">
        <v>1280</v>
      </c>
      <c r="D725" t="s">
        <v>142</v>
      </c>
      <c r="E725">
        <v>2024</v>
      </c>
      <c r="F725" t="s">
        <v>21</v>
      </c>
      <c r="G725" t="s">
        <v>276</v>
      </c>
      <c r="H725">
        <v>22208745</v>
      </c>
      <c r="J725">
        <v>1</v>
      </c>
      <c r="K725" t="s">
        <v>1299</v>
      </c>
    </row>
    <row r="726" spans="1:11">
      <c r="A726" t="s">
        <v>1300</v>
      </c>
      <c r="B726" t="str">
        <f t="shared" si="11"/>
        <v>Wikirate International e.V.+Lobbying budget disclosedVoith</v>
      </c>
      <c r="C726" t="s">
        <v>1280</v>
      </c>
      <c r="D726" t="s">
        <v>145</v>
      </c>
      <c r="E726">
        <v>2024</v>
      </c>
      <c r="F726" t="s">
        <v>15</v>
      </c>
      <c r="G726" t="s">
        <v>278</v>
      </c>
      <c r="H726">
        <v>22209017</v>
      </c>
      <c r="I726" t="s">
        <v>279</v>
      </c>
      <c r="J726">
        <v>1</v>
      </c>
      <c r="K726" t="s">
        <v>1301</v>
      </c>
    </row>
    <row r="727" spans="1:11">
      <c r="A727" t="s">
        <v>1302</v>
      </c>
      <c r="B727" t="str">
        <f t="shared" si="11"/>
        <v>Wikirate International e.V.+Lobbying budget disclosedZF Friedrichshafen</v>
      </c>
      <c r="C727" t="s">
        <v>1280</v>
      </c>
      <c r="D727" t="s">
        <v>152</v>
      </c>
      <c r="E727">
        <v>2024</v>
      </c>
      <c r="F727" t="s">
        <v>21</v>
      </c>
      <c r="G727" t="s">
        <v>283</v>
      </c>
      <c r="H727">
        <v>22209298</v>
      </c>
      <c r="J727">
        <v>1</v>
      </c>
    </row>
    <row r="728" spans="1:11">
      <c r="A728" t="s">
        <v>1303</v>
      </c>
      <c r="B728" t="str">
        <f t="shared" si="11"/>
        <v>Wikirate International e.V.+Lobbying budget disclosedJungheinrich AG</v>
      </c>
      <c r="C728" t="s">
        <v>1280</v>
      </c>
      <c r="D728" t="s">
        <v>155</v>
      </c>
      <c r="E728">
        <v>2024</v>
      </c>
      <c r="F728" t="s">
        <v>21</v>
      </c>
      <c r="G728" t="s">
        <v>285</v>
      </c>
      <c r="H728">
        <v>22209422</v>
      </c>
      <c r="J728">
        <v>1</v>
      </c>
      <c r="K728" t="s">
        <v>1613</v>
      </c>
    </row>
    <row r="729" spans="1:11">
      <c r="A729" t="s">
        <v>1304</v>
      </c>
      <c r="B729" t="str">
        <f t="shared" si="11"/>
        <v>Wikirate International e.V.+Lobbying budget disclosedD√ºrr Group</v>
      </c>
      <c r="C729" t="s">
        <v>1280</v>
      </c>
      <c r="D729" t="s">
        <v>191</v>
      </c>
      <c r="E729">
        <v>2024</v>
      </c>
      <c r="F729" t="s">
        <v>21</v>
      </c>
      <c r="G729" t="s">
        <v>299</v>
      </c>
      <c r="H729">
        <v>22210563</v>
      </c>
      <c r="I729" t="s">
        <v>300</v>
      </c>
      <c r="J729">
        <v>1</v>
      </c>
      <c r="K729" t="s">
        <v>1305</v>
      </c>
    </row>
    <row r="730" spans="1:11">
      <c r="A730" t="s">
        <v>1306</v>
      </c>
      <c r="B730" t="str">
        <f t="shared" si="11"/>
        <v>Wikirate International e.V.+Lobbying budget disclosedLanxess</v>
      </c>
      <c r="C730" t="s">
        <v>1280</v>
      </c>
      <c r="D730" t="s">
        <v>194</v>
      </c>
      <c r="E730">
        <v>2024</v>
      </c>
      <c r="F730" t="s">
        <v>21</v>
      </c>
      <c r="G730" t="s">
        <v>287</v>
      </c>
      <c r="H730">
        <v>22210569</v>
      </c>
      <c r="J730">
        <v>1</v>
      </c>
      <c r="K730" t="s">
        <v>1307</v>
      </c>
    </row>
    <row r="731" spans="1:11">
      <c r="A731" t="s">
        <v>1308</v>
      </c>
      <c r="B731" t="str">
        <f t="shared" si="11"/>
        <v>Wikirate International e.V.+Lobbying budget disclosedCovestro</v>
      </c>
      <c r="C731" t="s">
        <v>1280</v>
      </c>
      <c r="D731" t="s">
        <v>164</v>
      </c>
      <c r="E731">
        <v>2024</v>
      </c>
      <c r="F731" t="s">
        <v>21</v>
      </c>
      <c r="G731" t="s">
        <v>289</v>
      </c>
      <c r="H731">
        <v>22211095</v>
      </c>
      <c r="I731" t="s">
        <v>290</v>
      </c>
      <c r="J731">
        <v>1</v>
      </c>
    </row>
    <row r="732" spans="1:11">
      <c r="A732" t="s">
        <v>1309</v>
      </c>
      <c r="B732" t="str">
        <f t="shared" si="11"/>
        <v>Wikirate International e.V.+Lobbying budget disclosedDaimler Truck AG</v>
      </c>
      <c r="C732" t="s">
        <v>1280</v>
      </c>
      <c r="D732" t="s">
        <v>118</v>
      </c>
      <c r="E732">
        <v>2024</v>
      </c>
      <c r="F732" t="s">
        <v>21</v>
      </c>
      <c r="G732" t="s">
        <v>119</v>
      </c>
      <c r="H732">
        <v>22211379</v>
      </c>
      <c r="I732" t="s">
        <v>120</v>
      </c>
      <c r="J732">
        <v>1</v>
      </c>
      <c r="K732" t="s">
        <v>1310</v>
      </c>
    </row>
    <row r="733" spans="1:11">
      <c r="A733" t="s">
        <v>1311</v>
      </c>
      <c r="B733" t="str">
        <f t="shared" si="11"/>
        <v>Wikirate International e.V.+Lobbying budget disclosedKrones AG</v>
      </c>
      <c r="C733" t="s">
        <v>1280</v>
      </c>
      <c r="D733" t="s">
        <v>168</v>
      </c>
      <c r="E733">
        <v>2024</v>
      </c>
      <c r="F733" t="s">
        <v>21</v>
      </c>
      <c r="G733" t="s">
        <v>371</v>
      </c>
      <c r="H733">
        <v>22211627</v>
      </c>
      <c r="J733">
        <v>1</v>
      </c>
      <c r="K733" t="s">
        <v>1312</v>
      </c>
    </row>
    <row r="734" spans="1:11">
      <c r="A734" t="s">
        <v>1313</v>
      </c>
      <c r="B734" t="str">
        <f t="shared" si="11"/>
        <v>Wikirate International e.V.+Lobbying budget disclosedHenkel AG &amp; Co. KGaA</v>
      </c>
      <c r="C734" t="s">
        <v>1280</v>
      </c>
      <c r="D734" t="s">
        <v>172</v>
      </c>
      <c r="E734">
        <v>2024</v>
      </c>
      <c r="F734" t="s">
        <v>21</v>
      </c>
      <c r="G734" t="s">
        <v>374</v>
      </c>
      <c r="H734">
        <v>22211734</v>
      </c>
      <c r="I734" t="s">
        <v>375</v>
      </c>
      <c r="J734">
        <v>1</v>
      </c>
      <c r="K734" t="s">
        <v>1314</v>
      </c>
    </row>
    <row r="735" spans="1:11">
      <c r="A735" t="s">
        <v>1315</v>
      </c>
      <c r="B735" t="str">
        <f t="shared" si="11"/>
        <v>Wikirate International e.V.+Lobbying budget disclosedEnBW-Energie Baden-Wuerttemberg</v>
      </c>
      <c r="C735" t="s">
        <v>1280</v>
      </c>
      <c r="D735" t="s">
        <v>177</v>
      </c>
      <c r="E735">
        <v>2024</v>
      </c>
      <c r="F735" t="s">
        <v>15</v>
      </c>
      <c r="G735" t="s">
        <v>377</v>
      </c>
      <c r="H735">
        <v>22218206</v>
      </c>
      <c r="J735">
        <v>1</v>
      </c>
      <c r="K735" t="s">
        <v>1316</v>
      </c>
    </row>
    <row r="736" spans="1:11">
      <c r="A736" t="s">
        <v>1317</v>
      </c>
      <c r="B736" t="str">
        <f t="shared" si="11"/>
        <v>Wikirate International e.V.+Lobbying budget disclosedHensoldt AG</v>
      </c>
      <c r="C736" t="s">
        <v>1280</v>
      </c>
      <c r="D736" t="s">
        <v>208</v>
      </c>
      <c r="E736">
        <v>2024</v>
      </c>
      <c r="F736" t="s">
        <v>15</v>
      </c>
      <c r="G736" t="s">
        <v>297</v>
      </c>
      <c r="H736">
        <v>22218244</v>
      </c>
      <c r="J736">
        <v>1</v>
      </c>
      <c r="K736" t="s">
        <v>1318</v>
      </c>
    </row>
    <row r="737" spans="1:11">
      <c r="A737" t="s">
        <v>1319</v>
      </c>
      <c r="B737" t="str">
        <f t="shared" si="11"/>
        <v>Wikirate International e.V.+Lobbying budget disclosedBASF SE</v>
      </c>
      <c r="C737" t="s">
        <v>1280</v>
      </c>
      <c r="D737" t="s">
        <v>108</v>
      </c>
      <c r="E737">
        <v>2024</v>
      </c>
      <c r="F737" t="s">
        <v>21</v>
      </c>
      <c r="G737" t="s">
        <v>339</v>
      </c>
      <c r="H737">
        <v>22218749</v>
      </c>
      <c r="I737" t="s">
        <v>340</v>
      </c>
      <c r="J737">
        <v>1</v>
      </c>
      <c r="K737" t="s">
        <v>1614</v>
      </c>
    </row>
    <row r="738" spans="1:11">
      <c r="A738" t="s">
        <v>1320</v>
      </c>
      <c r="B738" t="str">
        <f t="shared" si="11"/>
        <v>Wikirate International e.V.+Lobbying budget disclosedHELLA GMBH &amp; CO. KGAA</v>
      </c>
      <c r="C738" t="s">
        <v>1280</v>
      </c>
      <c r="D738" t="s">
        <v>187</v>
      </c>
      <c r="E738">
        <v>2024</v>
      </c>
      <c r="F738" t="s">
        <v>21</v>
      </c>
      <c r="G738" t="s">
        <v>384</v>
      </c>
      <c r="H738">
        <v>22218856</v>
      </c>
      <c r="J738">
        <v>1</v>
      </c>
      <c r="K738" t="s">
        <v>1321</v>
      </c>
    </row>
    <row r="739" spans="1:11">
      <c r="A739" t="s">
        <v>1322</v>
      </c>
      <c r="B739" t="str">
        <f t="shared" si="11"/>
        <v>Wikirate International e.V.+Lobbying budget disclosedDeere &amp; Co</v>
      </c>
      <c r="C739" t="s">
        <v>1280</v>
      </c>
      <c r="D739" t="s">
        <v>197</v>
      </c>
      <c r="E739">
        <v>2024</v>
      </c>
      <c r="F739" t="s">
        <v>15</v>
      </c>
      <c r="G739" t="s">
        <v>303</v>
      </c>
      <c r="H739">
        <v>22218955</v>
      </c>
      <c r="J739">
        <v>1</v>
      </c>
      <c r="K739" t="s">
        <v>1323</v>
      </c>
    </row>
    <row r="740" spans="1:11">
      <c r="A740" t="s">
        <v>1324</v>
      </c>
      <c r="B740" t="str">
        <f t="shared" si="11"/>
        <v>Wikirate International e.V.+Lobbying budget disclosedAmprion GmbH</v>
      </c>
      <c r="C740" t="s">
        <v>1280</v>
      </c>
      <c r="D740" t="s">
        <v>182</v>
      </c>
      <c r="E740">
        <v>2024</v>
      </c>
      <c r="F740" t="s">
        <v>21</v>
      </c>
      <c r="G740" t="s">
        <v>389</v>
      </c>
      <c r="H740">
        <v>22219030</v>
      </c>
      <c r="J740">
        <v>1</v>
      </c>
      <c r="K740" t="s">
        <v>1325</v>
      </c>
    </row>
    <row r="741" spans="1:11">
      <c r="A741" t="s">
        <v>1326</v>
      </c>
      <c r="B741" t="str">
        <f t="shared" si="11"/>
        <v>Wikirate International e.V.+Lobbying budget disclosedBoehringer Ingelheim GmbH</v>
      </c>
      <c r="C741" t="s">
        <v>1280</v>
      </c>
      <c r="D741" t="s">
        <v>201</v>
      </c>
      <c r="E741">
        <v>2024</v>
      </c>
      <c r="F741" t="s">
        <v>21</v>
      </c>
      <c r="G741" t="s">
        <v>306</v>
      </c>
      <c r="H741">
        <v>22219154</v>
      </c>
      <c r="J741">
        <v>1</v>
      </c>
    </row>
    <row r="742" spans="1:11">
      <c r="A742" t="s">
        <v>1327</v>
      </c>
      <c r="B742" t="str">
        <f t="shared" si="11"/>
        <v>Wikirate International e.V.+Lobbying budget disclosedBayer AG</v>
      </c>
      <c r="C742" t="s">
        <v>1280</v>
      </c>
      <c r="D742" t="s">
        <v>87</v>
      </c>
      <c r="E742">
        <v>2024</v>
      </c>
      <c r="F742" t="s">
        <v>15</v>
      </c>
      <c r="G742" t="s">
        <v>88</v>
      </c>
      <c r="H742">
        <v>22219233</v>
      </c>
      <c r="J742">
        <v>1</v>
      </c>
      <c r="K742" t="s">
        <v>1328</v>
      </c>
    </row>
    <row r="743" spans="1:11">
      <c r="A743" t="s">
        <v>1329</v>
      </c>
      <c r="B743" t="str">
        <f t="shared" si="11"/>
        <v>Wikirate International e.V.+Lobbying budget disclosedRWE Group</v>
      </c>
      <c r="C743" t="s">
        <v>1280</v>
      </c>
      <c r="D743" t="s">
        <v>14</v>
      </c>
      <c r="E743">
        <v>2024</v>
      </c>
      <c r="F743" t="s">
        <v>21</v>
      </c>
      <c r="G743" t="s">
        <v>16</v>
      </c>
      <c r="H743">
        <v>22219325</v>
      </c>
      <c r="I743" t="s">
        <v>17</v>
      </c>
      <c r="J743">
        <v>1</v>
      </c>
    </row>
    <row r="744" spans="1:11">
      <c r="A744" t="s">
        <v>1330</v>
      </c>
      <c r="B744" t="str">
        <f t="shared" si="11"/>
        <v>Wikirate International e.V.+Lobbying budget disclosedRheinmetall AG</v>
      </c>
      <c r="C744" t="s">
        <v>1280</v>
      </c>
      <c r="D744" t="s">
        <v>79</v>
      </c>
      <c r="E744">
        <v>2024</v>
      </c>
      <c r="F744" t="s">
        <v>21</v>
      </c>
      <c r="G744" t="s">
        <v>80</v>
      </c>
      <c r="H744">
        <v>22219881</v>
      </c>
      <c r="J744">
        <v>1</v>
      </c>
    </row>
    <row r="745" spans="1:11">
      <c r="A745" t="s">
        <v>1331</v>
      </c>
      <c r="B745" t="str">
        <f t="shared" si="11"/>
        <v>Wikirate International e.V.+Lobbying budget disclosedUniper SE</v>
      </c>
      <c r="C745" t="s">
        <v>1280</v>
      </c>
      <c r="D745" t="s">
        <v>83</v>
      </c>
      <c r="E745">
        <v>2024</v>
      </c>
      <c r="F745" t="s">
        <v>21</v>
      </c>
      <c r="G745" t="s">
        <v>84</v>
      </c>
      <c r="H745">
        <v>22219886</v>
      </c>
      <c r="J745">
        <v>1</v>
      </c>
    </row>
    <row r="746" spans="1:11">
      <c r="A746" t="s">
        <v>1332</v>
      </c>
      <c r="B746" t="str">
        <f t="shared" si="11"/>
        <v>Wikirate International e.V.+Lobbying budget disclosedAirbus Group</v>
      </c>
      <c r="C746" t="s">
        <v>1280</v>
      </c>
      <c r="D746" t="s">
        <v>74</v>
      </c>
      <c r="E746">
        <v>2024</v>
      </c>
      <c r="F746" t="s">
        <v>21</v>
      </c>
      <c r="G746" t="s">
        <v>75</v>
      </c>
      <c r="H746">
        <v>22245916</v>
      </c>
      <c r="I746" t="s">
        <v>76</v>
      </c>
      <c r="J746">
        <v>1</v>
      </c>
      <c r="K746" t="s">
        <v>1333</v>
      </c>
    </row>
    <row r="747" spans="1:11">
      <c r="A747" t="s">
        <v>1334</v>
      </c>
      <c r="B747" t="str">
        <f t="shared" si="11"/>
        <v>Wikirate International e.V.+Lobbying budget disclosedSiemens Energy AG</v>
      </c>
      <c r="C747" t="s">
        <v>1280</v>
      </c>
      <c r="D747" t="s">
        <v>71</v>
      </c>
      <c r="E747">
        <v>2024</v>
      </c>
      <c r="F747" t="s">
        <v>21</v>
      </c>
      <c r="G747" t="s">
        <v>72</v>
      </c>
      <c r="H747">
        <v>22246050</v>
      </c>
      <c r="J747">
        <v>1</v>
      </c>
    </row>
    <row r="748" spans="1:11">
      <c r="A748" t="s">
        <v>1335</v>
      </c>
      <c r="B748" t="str">
        <f t="shared" si="11"/>
        <v>Wikirate International e.V.+Lobbying budget disclosed50Hertz Transmission</v>
      </c>
      <c r="C748" t="s">
        <v>1280</v>
      </c>
      <c r="D748" t="s">
        <v>68</v>
      </c>
      <c r="E748">
        <v>2024</v>
      </c>
      <c r="F748" t="s">
        <v>21</v>
      </c>
      <c r="G748" t="s">
        <v>69</v>
      </c>
      <c r="H748">
        <v>22246134</v>
      </c>
      <c r="J748">
        <v>1</v>
      </c>
    </row>
    <row r="749" spans="1:11">
      <c r="A749" t="s">
        <v>1336</v>
      </c>
      <c r="B749" t="str">
        <f t="shared" si="11"/>
        <v>Wikirate International e.V.+Lobbying budget disclosedKION Group</v>
      </c>
      <c r="C749" t="s">
        <v>1280</v>
      </c>
      <c r="D749" t="s">
        <v>65</v>
      </c>
      <c r="E749">
        <v>2024</v>
      </c>
      <c r="F749" t="s">
        <v>21</v>
      </c>
      <c r="G749" t="s">
        <v>66</v>
      </c>
      <c r="H749">
        <v>22246326</v>
      </c>
      <c r="J749">
        <v>1</v>
      </c>
    </row>
    <row r="750" spans="1:11">
      <c r="A750" t="s">
        <v>1337</v>
      </c>
      <c r="B750" t="str">
        <f t="shared" si="11"/>
        <v>Wikirate International e.V.+Lobbying budget disclosedStadtwerke Munchen GmbH</v>
      </c>
      <c r="C750" t="s">
        <v>1280</v>
      </c>
      <c r="D750" t="s">
        <v>61</v>
      </c>
      <c r="E750">
        <v>2024</v>
      </c>
      <c r="F750" t="s">
        <v>21</v>
      </c>
      <c r="G750" t="s">
        <v>62</v>
      </c>
      <c r="H750">
        <v>22246425</v>
      </c>
      <c r="J750">
        <v>1</v>
      </c>
      <c r="K750" t="s">
        <v>1338</v>
      </c>
    </row>
    <row r="751" spans="1:11">
      <c r="A751" t="s">
        <v>1339</v>
      </c>
      <c r="B751" t="str">
        <f t="shared" si="11"/>
        <v>Wikirate International e.V.+Lobbying budget disclosedE.ON SE</v>
      </c>
      <c r="C751" t="s">
        <v>1280</v>
      </c>
      <c r="D751" t="s">
        <v>57</v>
      </c>
      <c r="E751">
        <v>2024</v>
      </c>
      <c r="F751" t="s">
        <v>21</v>
      </c>
      <c r="G751" t="s">
        <v>58</v>
      </c>
      <c r="H751">
        <v>22246465</v>
      </c>
      <c r="J751">
        <v>1</v>
      </c>
    </row>
    <row r="752" spans="1:11">
      <c r="A752" t="s">
        <v>1340</v>
      </c>
      <c r="B752" t="str">
        <f t="shared" si="11"/>
        <v>Wikirate International e.V.+Lobbying budget disclosedDiehl Stiftung &amp; Co. KG</v>
      </c>
      <c r="C752" t="s">
        <v>1280</v>
      </c>
      <c r="D752" t="s">
        <v>53</v>
      </c>
      <c r="E752">
        <v>2024</v>
      </c>
      <c r="F752" t="s">
        <v>21</v>
      </c>
      <c r="G752" t="s">
        <v>54</v>
      </c>
      <c r="H752">
        <v>22246663</v>
      </c>
      <c r="J752">
        <v>1</v>
      </c>
      <c r="K752" t="s">
        <v>1341</v>
      </c>
    </row>
    <row r="753" spans="1:11">
      <c r="A753" t="s">
        <v>1342</v>
      </c>
      <c r="B753" t="str">
        <f t="shared" si="11"/>
        <v>Wikirate International e.V.+Lobbying budget disclosedMerck KGaA</v>
      </c>
      <c r="C753" t="s">
        <v>1280</v>
      </c>
      <c r="D753" t="s">
        <v>49</v>
      </c>
      <c r="E753">
        <v>2024</v>
      </c>
      <c r="F753" t="s">
        <v>21</v>
      </c>
      <c r="G753" t="s">
        <v>50</v>
      </c>
      <c r="H753">
        <v>22246799</v>
      </c>
      <c r="J753">
        <v>1</v>
      </c>
    </row>
    <row r="754" spans="1:11">
      <c r="A754" t="s">
        <v>1343</v>
      </c>
      <c r="B754" t="str">
        <f t="shared" si="11"/>
        <v>Wikirate International e.V.+Lobbying budget disclosedEvonik</v>
      </c>
      <c r="C754" t="s">
        <v>1280</v>
      </c>
      <c r="D754" t="s">
        <v>45</v>
      </c>
      <c r="E754">
        <v>2024</v>
      </c>
      <c r="F754" t="s">
        <v>15</v>
      </c>
      <c r="G754" t="s">
        <v>46</v>
      </c>
      <c r="H754">
        <v>22246935</v>
      </c>
      <c r="J754">
        <v>1</v>
      </c>
      <c r="K754" t="s">
        <v>1344</v>
      </c>
    </row>
    <row r="755" spans="1:11">
      <c r="A755" t="s">
        <v>1345</v>
      </c>
      <c r="B755" t="str">
        <f t="shared" si="11"/>
        <v>Wikirate International e.V.+Lobbying budget disclosedKNDS Group</v>
      </c>
      <c r="C755" t="s">
        <v>1280</v>
      </c>
      <c r="D755" t="s">
        <v>42</v>
      </c>
      <c r="E755">
        <v>2024</v>
      </c>
      <c r="F755" t="s">
        <v>21</v>
      </c>
      <c r="G755" t="s">
        <v>43</v>
      </c>
      <c r="H755">
        <v>22247045</v>
      </c>
      <c r="J755">
        <v>1</v>
      </c>
    </row>
    <row r="756" spans="1:11">
      <c r="A756" t="s">
        <v>1346</v>
      </c>
      <c r="B756" t="str">
        <f t="shared" si="11"/>
        <v>Wikirate International e.V.+Lobbying budget disclosedLockheed Martin</v>
      </c>
      <c r="C756" t="s">
        <v>1280</v>
      </c>
      <c r="D756" t="s">
        <v>38</v>
      </c>
      <c r="E756">
        <v>2024</v>
      </c>
      <c r="F756" t="s">
        <v>21</v>
      </c>
      <c r="G756" t="s">
        <v>39</v>
      </c>
      <c r="H756">
        <v>22247125</v>
      </c>
      <c r="J756">
        <v>1</v>
      </c>
      <c r="K756" t="s">
        <v>1615</v>
      </c>
    </row>
    <row r="757" spans="1:11">
      <c r="A757" t="s">
        <v>1347</v>
      </c>
      <c r="B757" t="str">
        <f t="shared" si="11"/>
        <v>Wikirate International e.V.+Lobbying budget disclosedLeonardo</v>
      </c>
      <c r="C757" t="s">
        <v>1280</v>
      </c>
      <c r="D757" t="s">
        <v>33</v>
      </c>
      <c r="E757">
        <v>2024</v>
      </c>
      <c r="F757" t="s">
        <v>15</v>
      </c>
      <c r="G757" t="s">
        <v>34</v>
      </c>
      <c r="H757">
        <v>22247399</v>
      </c>
      <c r="I757" t="s">
        <v>35</v>
      </c>
      <c r="J757">
        <v>1</v>
      </c>
      <c r="K757" t="s">
        <v>1348</v>
      </c>
    </row>
    <row r="758" spans="1:11">
      <c r="A758" t="s">
        <v>1404</v>
      </c>
      <c r="B758" t="str">
        <f t="shared" si="11"/>
        <v>Wikirate International e.V.+Report discoverabilityEnercon GmbH</v>
      </c>
      <c r="C758" t="s">
        <v>91</v>
      </c>
      <c r="D758" t="s">
        <v>1405</v>
      </c>
      <c r="E758">
        <v>2023</v>
      </c>
      <c r="F758" t="s">
        <v>96</v>
      </c>
      <c r="G758" t="s">
        <v>1406</v>
      </c>
      <c r="H758">
        <v>22208770</v>
      </c>
      <c r="J758">
        <v>1</v>
      </c>
    </row>
    <row r="759" spans="1:11">
      <c r="A759" t="s">
        <v>1407</v>
      </c>
      <c r="B759" t="str">
        <f t="shared" si="11"/>
        <v>Wikirate International e.V.+Report discoverabilityRTX Corporation</v>
      </c>
      <c r="C759" t="s">
        <v>91</v>
      </c>
      <c r="D759" t="s">
        <v>1408</v>
      </c>
      <c r="E759">
        <v>2023</v>
      </c>
      <c r="F759" t="s">
        <v>96</v>
      </c>
      <c r="G759" t="s">
        <v>1409</v>
      </c>
      <c r="H759">
        <v>22247300</v>
      </c>
      <c r="J759">
        <v>1</v>
      </c>
      <c r="K759" t="s">
        <v>1410</v>
      </c>
    </row>
    <row r="760" spans="1:11">
      <c r="A760" t="s">
        <v>1411</v>
      </c>
      <c r="B760" t="str">
        <f t="shared" si="11"/>
        <v>Wikirate International e.V.+Report discoverabilityHeckler &amp; Koch AG</v>
      </c>
      <c r="C760" t="s">
        <v>91</v>
      </c>
      <c r="D760" t="s">
        <v>1412</v>
      </c>
      <c r="E760">
        <v>2023</v>
      </c>
      <c r="F760" t="s">
        <v>96</v>
      </c>
      <c r="G760" t="s">
        <v>1413</v>
      </c>
      <c r="H760">
        <v>22250830</v>
      </c>
      <c r="J760">
        <v>1</v>
      </c>
    </row>
    <row r="761" spans="1:11">
      <c r="A761" t="s">
        <v>1414</v>
      </c>
      <c r="B761" t="str">
        <f t="shared" si="11"/>
        <v>Wikirate International e.V.+Report formatEnercon GmbH</v>
      </c>
      <c r="C761" t="s">
        <v>242</v>
      </c>
      <c r="D761" t="s">
        <v>1405</v>
      </c>
      <c r="E761">
        <v>2023</v>
      </c>
      <c r="F761" t="s">
        <v>246</v>
      </c>
      <c r="G761" t="s">
        <v>1415</v>
      </c>
      <c r="H761">
        <v>22208775</v>
      </c>
      <c r="J761">
        <v>1</v>
      </c>
    </row>
    <row r="762" spans="1:11">
      <c r="A762" t="s">
        <v>1416</v>
      </c>
      <c r="B762" t="str">
        <f t="shared" si="11"/>
        <v>Wikirate International e.V.+Report formatStadtwerke Munchen GmbH</v>
      </c>
      <c r="C762" t="s">
        <v>242</v>
      </c>
      <c r="D762" t="s">
        <v>61</v>
      </c>
      <c r="E762">
        <v>2023</v>
      </c>
      <c r="F762" t="s">
        <v>246</v>
      </c>
      <c r="G762" t="s">
        <v>1417</v>
      </c>
      <c r="H762">
        <v>22219188</v>
      </c>
      <c r="J762">
        <v>1</v>
      </c>
    </row>
    <row r="763" spans="1:11">
      <c r="A763" t="s">
        <v>1418</v>
      </c>
      <c r="B763" t="str">
        <f t="shared" si="11"/>
        <v>Wikirate International e.V.+Report formatRTX Corporation</v>
      </c>
      <c r="C763" t="s">
        <v>242</v>
      </c>
      <c r="D763" t="s">
        <v>1408</v>
      </c>
      <c r="E763">
        <v>2023</v>
      </c>
      <c r="F763" t="s">
        <v>246</v>
      </c>
      <c r="G763" t="s">
        <v>1419</v>
      </c>
      <c r="H763">
        <v>22247307</v>
      </c>
      <c r="I763" t="s">
        <v>1420</v>
      </c>
      <c r="J763">
        <v>1</v>
      </c>
    </row>
    <row r="764" spans="1:11">
      <c r="A764" t="s">
        <v>1421</v>
      </c>
      <c r="B764" t="str">
        <f t="shared" si="11"/>
        <v>Wikirate International e.V.+Report formatHeckler &amp; Koch AG</v>
      </c>
      <c r="C764" t="s">
        <v>242</v>
      </c>
      <c r="D764" t="s">
        <v>1412</v>
      </c>
      <c r="E764">
        <v>2023</v>
      </c>
      <c r="F764" t="s">
        <v>246</v>
      </c>
      <c r="G764" t="s">
        <v>1422</v>
      </c>
      <c r="H764">
        <v>22250841</v>
      </c>
      <c r="J764">
        <v>1</v>
      </c>
    </row>
    <row r="765" spans="1:11">
      <c r="A765" t="s">
        <v>1423</v>
      </c>
      <c r="B765" t="str">
        <f t="shared" si="11"/>
        <v>Wikirate International e.V.+Entity identificationEnercon GmbH</v>
      </c>
      <c r="C765" t="s">
        <v>328</v>
      </c>
      <c r="D765" t="s">
        <v>1405</v>
      </c>
      <c r="E765">
        <v>2023</v>
      </c>
      <c r="F765" t="s">
        <v>21</v>
      </c>
      <c r="G765" t="s">
        <v>1415</v>
      </c>
      <c r="H765">
        <v>22208796</v>
      </c>
      <c r="J765">
        <v>1</v>
      </c>
    </row>
    <row r="766" spans="1:11">
      <c r="A766" t="s">
        <v>1424</v>
      </c>
      <c r="B766" t="str">
        <f t="shared" si="11"/>
        <v>Wikirate International e.V.+Entity identificationRTX Corporation</v>
      </c>
      <c r="C766" t="s">
        <v>328</v>
      </c>
      <c r="D766" t="s">
        <v>1408</v>
      </c>
      <c r="E766">
        <v>2023</v>
      </c>
      <c r="F766" t="s">
        <v>21</v>
      </c>
      <c r="G766" t="s">
        <v>1419</v>
      </c>
      <c r="H766">
        <v>22247330</v>
      </c>
      <c r="I766" t="s">
        <v>1420</v>
      </c>
      <c r="J766">
        <v>1</v>
      </c>
    </row>
    <row r="767" spans="1:11">
      <c r="A767" t="s">
        <v>1425</v>
      </c>
      <c r="B767" t="str">
        <f t="shared" si="11"/>
        <v>Wikirate International e.V.+Entity identificationHeckler &amp; Koch AG</v>
      </c>
      <c r="C767" t="s">
        <v>328</v>
      </c>
      <c r="D767" t="s">
        <v>1412</v>
      </c>
      <c r="E767">
        <v>2023</v>
      </c>
      <c r="F767" t="s">
        <v>21</v>
      </c>
      <c r="G767" t="s">
        <v>1422</v>
      </c>
      <c r="H767">
        <v>22250877</v>
      </c>
      <c r="J767">
        <v>1</v>
      </c>
    </row>
    <row r="768" spans="1:11">
      <c r="A768" t="s">
        <v>1426</v>
      </c>
      <c r="B768" t="str">
        <f t="shared" si="11"/>
        <v>Wikirate International e.V.+Reporting period specifiedEnercon GmbH</v>
      </c>
      <c r="C768" t="s">
        <v>412</v>
      </c>
      <c r="D768" t="s">
        <v>1405</v>
      </c>
      <c r="E768">
        <v>2023</v>
      </c>
      <c r="F768" t="s">
        <v>15</v>
      </c>
      <c r="G768" t="s">
        <v>1415</v>
      </c>
      <c r="H768">
        <v>22208801</v>
      </c>
      <c r="J768">
        <v>1</v>
      </c>
      <c r="K768" t="s">
        <v>1427</v>
      </c>
    </row>
    <row r="769" spans="1:11">
      <c r="A769" t="s">
        <v>1428</v>
      </c>
      <c r="B769" t="str">
        <f t="shared" si="11"/>
        <v>Wikirate International e.V.+Reporting period specifiedRTX Corporation</v>
      </c>
      <c r="C769" t="s">
        <v>412</v>
      </c>
      <c r="D769" t="s">
        <v>1408</v>
      </c>
      <c r="E769">
        <v>2023</v>
      </c>
      <c r="F769" t="s">
        <v>21</v>
      </c>
      <c r="G769" t="s">
        <v>1419</v>
      </c>
      <c r="H769">
        <v>22247335</v>
      </c>
      <c r="I769" t="s">
        <v>1420</v>
      </c>
      <c r="J769">
        <v>1</v>
      </c>
      <c r="K769" t="s">
        <v>1429</v>
      </c>
    </row>
    <row r="770" spans="1:11">
      <c r="A770" t="s">
        <v>1430</v>
      </c>
      <c r="B770" t="str">
        <f t="shared" si="11"/>
        <v>Wikirate International e.V.+Reporting period specifiedHeckler &amp; Koch AG</v>
      </c>
      <c r="C770" t="s">
        <v>412</v>
      </c>
      <c r="D770" t="s">
        <v>1412</v>
      </c>
      <c r="E770">
        <v>2023</v>
      </c>
      <c r="F770" t="s">
        <v>21</v>
      </c>
      <c r="G770" t="s">
        <v>1422</v>
      </c>
      <c r="H770">
        <v>22250882</v>
      </c>
      <c r="J770">
        <v>1</v>
      </c>
    </row>
    <row r="771" spans="1:11">
      <c r="A771" t="s">
        <v>1431</v>
      </c>
      <c r="B771" t="str">
        <f t="shared" si="11"/>
        <v>Wikirate International e.V.+Integrated indicator codesEnercon GmbH</v>
      </c>
      <c r="C771" t="s">
        <v>495</v>
      </c>
      <c r="D771" t="s">
        <v>1405</v>
      </c>
      <c r="E771">
        <v>2023</v>
      </c>
      <c r="F771" t="s">
        <v>501</v>
      </c>
      <c r="G771" t="s">
        <v>1415</v>
      </c>
      <c r="H771">
        <v>22208826</v>
      </c>
      <c r="J771">
        <v>1</v>
      </c>
      <c r="K771" t="s">
        <v>1432</v>
      </c>
    </row>
    <row r="772" spans="1:11">
      <c r="A772" t="s">
        <v>1433</v>
      </c>
      <c r="B772" t="str">
        <f t="shared" si="11"/>
        <v>Wikirate International e.V.+Integrated indicator codesRTX Corporation</v>
      </c>
      <c r="C772" t="s">
        <v>495</v>
      </c>
      <c r="D772" t="s">
        <v>1408</v>
      </c>
      <c r="E772">
        <v>2023</v>
      </c>
      <c r="F772" t="s">
        <v>21</v>
      </c>
      <c r="G772" t="s">
        <v>1419</v>
      </c>
      <c r="H772">
        <v>22247538</v>
      </c>
      <c r="I772" t="s">
        <v>1420</v>
      </c>
      <c r="J772">
        <v>1</v>
      </c>
    </row>
    <row r="773" spans="1:11">
      <c r="A773" t="s">
        <v>1434</v>
      </c>
      <c r="B773" t="str">
        <f t="shared" si="11"/>
        <v>Wikirate International e.V.+Integrated indicator codesHeckler &amp; Koch AG</v>
      </c>
      <c r="C773" t="s">
        <v>495</v>
      </c>
      <c r="D773" t="s">
        <v>1412</v>
      </c>
      <c r="E773">
        <v>2023</v>
      </c>
      <c r="F773" t="s">
        <v>21</v>
      </c>
      <c r="G773" t="s">
        <v>1422</v>
      </c>
      <c r="H773">
        <v>22250898</v>
      </c>
      <c r="J773">
        <v>1</v>
      </c>
    </row>
    <row r="774" spans="1:11">
      <c r="A774" t="s">
        <v>1435</v>
      </c>
      <c r="B774" t="str">
        <f t="shared" si="11"/>
        <v>Wikirate International e.V.+Data license explicitEnercon GmbH</v>
      </c>
      <c r="C774" t="s">
        <v>577</v>
      </c>
      <c r="D774" t="s">
        <v>1405</v>
      </c>
      <c r="E774">
        <v>2023</v>
      </c>
      <c r="F774" t="s">
        <v>21</v>
      </c>
      <c r="G774" t="s">
        <v>1415</v>
      </c>
      <c r="H774">
        <v>22208832</v>
      </c>
      <c r="J774">
        <v>1</v>
      </c>
    </row>
    <row r="775" spans="1:11">
      <c r="A775" t="s">
        <v>1436</v>
      </c>
      <c r="B775" t="str">
        <f t="shared" ref="B775:B806" si="12">C775&amp;D775</f>
        <v>Wikirate International e.V.+Data license explicitRTX Corporation</v>
      </c>
      <c r="C775" t="s">
        <v>577</v>
      </c>
      <c r="D775" t="s">
        <v>1408</v>
      </c>
      <c r="E775">
        <v>2023</v>
      </c>
      <c r="F775" t="s">
        <v>21</v>
      </c>
      <c r="G775" t="s">
        <v>1419</v>
      </c>
      <c r="H775">
        <v>22247543</v>
      </c>
      <c r="I775" t="s">
        <v>1420</v>
      </c>
      <c r="J775">
        <v>1</v>
      </c>
    </row>
    <row r="776" spans="1:11">
      <c r="A776" t="s">
        <v>1437</v>
      </c>
      <c r="B776" t="str">
        <f t="shared" si="12"/>
        <v>Wikirate International e.V.+Data license explicitHeckler &amp; Koch AG</v>
      </c>
      <c r="C776" t="s">
        <v>577</v>
      </c>
      <c r="D776" t="s">
        <v>1412</v>
      </c>
      <c r="E776">
        <v>2023</v>
      </c>
      <c r="F776" t="s">
        <v>21</v>
      </c>
      <c r="G776" t="s">
        <v>1422</v>
      </c>
      <c r="H776">
        <v>22250903</v>
      </c>
      <c r="J776">
        <v>1</v>
      </c>
    </row>
    <row r="777" spans="1:11">
      <c r="A777" t="s">
        <v>1438</v>
      </c>
      <c r="B777" t="str">
        <f t="shared" si="12"/>
        <v>Wikirate International e.V.+Direct links to referenced documentsEnercon GmbH</v>
      </c>
      <c r="C777" t="s">
        <v>629</v>
      </c>
      <c r="D777" t="s">
        <v>1405</v>
      </c>
      <c r="E777">
        <v>2023</v>
      </c>
      <c r="F777" t="s">
        <v>21</v>
      </c>
      <c r="G777" t="s">
        <v>1415</v>
      </c>
      <c r="H777">
        <v>22208786</v>
      </c>
      <c r="J777">
        <v>1</v>
      </c>
    </row>
    <row r="778" spans="1:11">
      <c r="A778" t="s">
        <v>1439</v>
      </c>
      <c r="B778" t="str">
        <f t="shared" si="12"/>
        <v>Wikirate International e.V.+Direct links to referenced documentsRTX Corporation</v>
      </c>
      <c r="C778" t="s">
        <v>629</v>
      </c>
      <c r="D778" t="s">
        <v>1408</v>
      </c>
      <c r="E778">
        <v>2023</v>
      </c>
      <c r="F778" t="s">
        <v>15</v>
      </c>
      <c r="G778" t="s">
        <v>1419</v>
      </c>
      <c r="H778">
        <v>22247318</v>
      </c>
      <c r="I778" t="s">
        <v>1420</v>
      </c>
      <c r="J778">
        <v>1</v>
      </c>
      <c r="K778" t="s">
        <v>1440</v>
      </c>
    </row>
    <row r="779" spans="1:11">
      <c r="A779" t="s">
        <v>1441</v>
      </c>
      <c r="B779" t="str">
        <f t="shared" si="12"/>
        <v>Wikirate International e.V.+Direct links to referenced documentsHeckler &amp; Koch AG</v>
      </c>
      <c r="C779" t="s">
        <v>629</v>
      </c>
      <c r="D779" t="s">
        <v>1412</v>
      </c>
      <c r="E779">
        <v>2023</v>
      </c>
      <c r="F779" t="s">
        <v>21</v>
      </c>
      <c r="G779" t="s">
        <v>1422</v>
      </c>
      <c r="H779">
        <v>22250852</v>
      </c>
      <c r="J779">
        <v>1</v>
      </c>
      <c r="K779" t="s">
        <v>1442</v>
      </c>
    </row>
    <row r="780" spans="1:11">
      <c r="A780" t="s">
        <v>1443</v>
      </c>
      <c r="B780" t="str">
        <f t="shared" si="12"/>
        <v>Wikirate International e.V.+Archive of referenced documentsEnercon GmbH</v>
      </c>
      <c r="C780" t="s">
        <v>701</v>
      </c>
      <c r="D780" t="s">
        <v>1405</v>
      </c>
      <c r="E780">
        <v>2023</v>
      </c>
      <c r="F780" t="s">
        <v>702</v>
      </c>
      <c r="G780" t="s">
        <v>1406</v>
      </c>
      <c r="H780">
        <v>22208791</v>
      </c>
      <c r="J780">
        <v>1</v>
      </c>
    </row>
    <row r="781" spans="1:11">
      <c r="A781" t="s">
        <v>1444</v>
      </c>
      <c r="B781" t="str">
        <f t="shared" si="12"/>
        <v>Wikirate International e.V.+Archive of referenced documentsRTX Corporation</v>
      </c>
      <c r="C781" t="s">
        <v>701</v>
      </c>
      <c r="D781" t="s">
        <v>1408</v>
      </c>
      <c r="E781">
        <v>2023</v>
      </c>
      <c r="F781" t="s">
        <v>702</v>
      </c>
      <c r="G781" t="s">
        <v>1409</v>
      </c>
      <c r="H781">
        <v>22247324</v>
      </c>
      <c r="J781">
        <v>1</v>
      </c>
      <c r="K781" t="s">
        <v>1445</v>
      </c>
    </row>
    <row r="782" spans="1:11">
      <c r="A782" t="s">
        <v>1446</v>
      </c>
      <c r="B782" t="str">
        <f t="shared" si="12"/>
        <v>Wikirate International e.V.+Archive of referenced documentsHeckler &amp; Koch AG</v>
      </c>
      <c r="C782" t="s">
        <v>701</v>
      </c>
      <c r="D782" t="s">
        <v>1412</v>
      </c>
      <c r="E782">
        <v>2023</v>
      </c>
      <c r="F782" t="s">
        <v>702</v>
      </c>
      <c r="G782" t="s">
        <v>1447</v>
      </c>
      <c r="H782">
        <v>22250872</v>
      </c>
      <c r="J782">
        <v>1</v>
      </c>
    </row>
    <row r="783" spans="1:11">
      <c r="A783" t="s">
        <v>1448</v>
      </c>
      <c r="B783" t="str">
        <f t="shared" si="12"/>
        <v>Wikirate International e.V.+Level of assuranceEnercon GmbH</v>
      </c>
      <c r="C783" t="s">
        <v>814</v>
      </c>
      <c r="D783" t="s">
        <v>1405</v>
      </c>
      <c r="E783">
        <v>2023</v>
      </c>
      <c r="F783" t="s">
        <v>838</v>
      </c>
      <c r="G783" t="s">
        <v>1415</v>
      </c>
      <c r="H783">
        <v>22208853</v>
      </c>
      <c r="J783">
        <v>1</v>
      </c>
    </row>
    <row r="784" spans="1:11">
      <c r="A784" t="s">
        <v>1449</v>
      </c>
      <c r="B784" t="str">
        <f t="shared" si="12"/>
        <v>Wikirate International e.V.+Level of assuranceRTX Corporation</v>
      </c>
      <c r="C784" t="s">
        <v>814</v>
      </c>
      <c r="D784" t="s">
        <v>1408</v>
      </c>
      <c r="E784">
        <v>2023</v>
      </c>
      <c r="F784" t="s">
        <v>838</v>
      </c>
      <c r="G784" t="s">
        <v>1419</v>
      </c>
      <c r="H784">
        <v>22247564</v>
      </c>
      <c r="I784" t="s">
        <v>1420</v>
      </c>
      <c r="J784">
        <v>1</v>
      </c>
    </row>
    <row r="785" spans="1:11">
      <c r="A785" t="s">
        <v>1450</v>
      </c>
      <c r="B785" t="str">
        <f t="shared" si="12"/>
        <v>Wikirate International e.V.+Level of assuranceHeckler &amp; Koch AG</v>
      </c>
      <c r="C785" t="s">
        <v>814</v>
      </c>
      <c r="D785" t="s">
        <v>1412</v>
      </c>
      <c r="E785">
        <v>2023</v>
      </c>
      <c r="F785" t="s">
        <v>838</v>
      </c>
      <c r="G785" t="s">
        <v>1422</v>
      </c>
      <c r="H785">
        <v>22250924</v>
      </c>
      <c r="J785">
        <v>1</v>
      </c>
    </row>
    <row r="786" spans="1:11">
      <c r="A786" t="s">
        <v>1451</v>
      </c>
      <c r="B786" t="str">
        <f t="shared" si="12"/>
        <v>Wikirate International e.V.+Archive of non-financial reportsEnercon GmbH</v>
      </c>
      <c r="C786" t="s">
        <v>901</v>
      </c>
      <c r="D786" t="s">
        <v>1405</v>
      </c>
      <c r="E786">
        <v>2023</v>
      </c>
      <c r="F786" t="s">
        <v>15</v>
      </c>
      <c r="G786" t="s">
        <v>1406</v>
      </c>
      <c r="H786">
        <v>22208780</v>
      </c>
      <c r="J786">
        <v>1</v>
      </c>
      <c r="K786" t="s">
        <v>1452</v>
      </c>
    </row>
    <row r="787" spans="1:11">
      <c r="A787" t="s">
        <v>1453</v>
      </c>
      <c r="B787" t="str">
        <f t="shared" si="12"/>
        <v>Wikirate International e.V.+Archive of non-financial reportsRTX Corporation</v>
      </c>
      <c r="C787" t="s">
        <v>901</v>
      </c>
      <c r="D787" t="s">
        <v>1408</v>
      </c>
      <c r="E787">
        <v>2023</v>
      </c>
      <c r="F787" t="s">
        <v>21</v>
      </c>
      <c r="G787" t="s">
        <v>1409</v>
      </c>
      <c r="H787">
        <v>22247312</v>
      </c>
      <c r="J787">
        <v>1</v>
      </c>
      <c r="K787" t="s">
        <v>1454</v>
      </c>
    </row>
    <row r="788" spans="1:11">
      <c r="A788" t="s">
        <v>1455</v>
      </c>
      <c r="B788" t="str">
        <f t="shared" si="12"/>
        <v>Wikirate International e.V.+Archive of non-financial reportsHeckler &amp; Koch AG</v>
      </c>
      <c r="C788" t="s">
        <v>901</v>
      </c>
      <c r="D788" t="s">
        <v>1412</v>
      </c>
      <c r="E788">
        <v>2023</v>
      </c>
      <c r="F788" t="s">
        <v>21</v>
      </c>
      <c r="G788" t="s">
        <v>1413</v>
      </c>
      <c r="H788">
        <v>22250846</v>
      </c>
      <c r="J788">
        <v>1</v>
      </c>
      <c r="K788" t="s">
        <v>1456</v>
      </c>
    </row>
    <row r="789" spans="1:11">
      <c r="A789" t="s">
        <v>1457</v>
      </c>
      <c r="B789" t="str">
        <f t="shared" si="12"/>
        <v>Wikirate International e.V.+Aligned page numberingEnercon GmbH</v>
      </c>
      <c r="C789" t="s">
        <v>987</v>
      </c>
      <c r="D789" t="s">
        <v>1405</v>
      </c>
      <c r="E789">
        <v>2023</v>
      </c>
      <c r="F789" t="s">
        <v>15</v>
      </c>
      <c r="G789" t="s">
        <v>1415</v>
      </c>
      <c r="H789">
        <v>22208807</v>
      </c>
      <c r="J789">
        <v>1</v>
      </c>
    </row>
    <row r="790" spans="1:11">
      <c r="A790" t="s">
        <v>1458</v>
      </c>
      <c r="B790" t="str">
        <f t="shared" si="12"/>
        <v>Wikirate International e.V.+Aligned page numberingRTX Corporation</v>
      </c>
      <c r="C790" t="s">
        <v>987</v>
      </c>
      <c r="D790" t="s">
        <v>1408</v>
      </c>
      <c r="E790">
        <v>2023</v>
      </c>
      <c r="F790" t="s">
        <v>15</v>
      </c>
      <c r="G790" t="s">
        <v>1419</v>
      </c>
      <c r="H790">
        <v>22247341</v>
      </c>
      <c r="I790" t="s">
        <v>1420</v>
      </c>
      <c r="J790">
        <v>1</v>
      </c>
    </row>
    <row r="791" spans="1:11">
      <c r="A791" t="s">
        <v>1459</v>
      </c>
      <c r="B791" t="str">
        <f t="shared" si="12"/>
        <v>Wikirate International e.V.+Aligned page numberingHeckler &amp; Koch AG</v>
      </c>
      <c r="C791" t="s">
        <v>987</v>
      </c>
      <c r="D791" t="s">
        <v>1412</v>
      </c>
      <c r="E791">
        <v>2023</v>
      </c>
      <c r="F791" t="s">
        <v>15</v>
      </c>
      <c r="G791" t="s">
        <v>1422</v>
      </c>
      <c r="H791">
        <v>22250887</v>
      </c>
      <c r="J791">
        <v>1</v>
      </c>
    </row>
    <row r="792" spans="1:11">
      <c r="A792" t="s">
        <v>1460</v>
      </c>
      <c r="B792" t="str">
        <f t="shared" si="12"/>
        <v>Wikirate International e.V.+Reporting standardsEnercon GmbH</v>
      </c>
      <c r="C792" t="s">
        <v>1044</v>
      </c>
      <c r="D792" t="s">
        <v>1405</v>
      </c>
      <c r="E792">
        <v>2023</v>
      </c>
      <c r="F792" t="s">
        <v>1699</v>
      </c>
      <c r="G792" t="s">
        <v>1415</v>
      </c>
      <c r="H792">
        <v>22208820</v>
      </c>
      <c r="J792">
        <v>1</v>
      </c>
      <c r="K792" t="s">
        <v>1462</v>
      </c>
    </row>
    <row r="793" spans="1:11">
      <c r="A793" t="s">
        <v>1463</v>
      </c>
      <c r="B793" t="str">
        <f t="shared" si="12"/>
        <v>Wikirate International e.V.+Reporting standardsRTX Corporation</v>
      </c>
      <c r="C793" t="s">
        <v>1044</v>
      </c>
      <c r="D793" t="s">
        <v>1408</v>
      </c>
      <c r="E793">
        <v>2023</v>
      </c>
      <c r="F793" t="s">
        <v>1104</v>
      </c>
      <c r="G793" t="s">
        <v>1419</v>
      </c>
      <c r="H793">
        <v>22247532</v>
      </c>
      <c r="I793" t="s">
        <v>1420</v>
      </c>
      <c r="J793">
        <v>1</v>
      </c>
      <c r="K793" t="s">
        <v>1464</v>
      </c>
    </row>
    <row r="794" spans="1:11">
      <c r="A794" t="s">
        <v>1465</v>
      </c>
      <c r="B794" t="str">
        <f t="shared" si="12"/>
        <v>Wikirate International e.V.+Reporting standardsHeckler &amp; Koch AG</v>
      </c>
      <c r="C794" t="s">
        <v>1044</v>
      </c>
      <c r="D794" t="s">
        <v>1412</v>
      </c>
      <c r="E794">
        <v>2023</v>
      </c>
      <c r="F794" t="s">
        <v>1104</v>
      </c>
      <c r="G794" t="s">
        <v>1422</v>
      </c>
      <c r="H794">
        <v>22250892</v>
      </c>
      <c r="J794">
        <v>1</v>
      </c>
      <c r="K794" t="s">
        <v>1466</v>
      </c>
    </row>
    <row r="795" spans="1:11">
      <c r="A795" t="s">
        <v>1467</v>
      </c>
      <c r="B795" t="str">
        <f t="shared" si="12"/>
        <v>Wikirate International e.V.+Data license typeEnercon GmbH</v>
      </c>
      <c r="C795" t="s">
        <v>1143</v>
      </c>
      <c r="D795" t="s">
        <v>1405</v>
      </c>
      <c r="E795">
        <v>2023</v>
      </c>
      <c r="F795" t="s">
        <v>1144</v>
      </c>
      <c r="G795" t="s">
        <v>1415</v>
      </c>
      <c r="H795">
        <v>22208837</v>
      </c>
      <c r="J795">
        <v>1</v>
      </c>
    </row>
    <row r="796" spans="1:11">
      <c r="A796" t="s">
        <v>1468</v>
      </c>
      <c r="B796" t="str">
        <f t="shared" si="12"/>
        <v>Wikirate International e.V.+Data license typeRTX Corporation</v>
      </c>
      <c r="C796" t="s">
        <v>1143</v>
      </c>
      <c r="D796" t="s">
        <v>1408</v>
      </c>
      <c r="E796">
        <v>2023</v>
      </c>
      <c r="F796" t="s">
        <v>1144</v>
      </c>
      <c r="G796" t="s">
        <v>1419</v>
      </c>
      <c r="H796">
        <v>22247548</v>
      </c>
      <c r="I796" t="s">
        <v>1420</v>
      </c>
      <c r="J796">
        <v>1</v>
      </c>
    </row>
    <row r="797" spans="1:11">
      <c r="A797" t="s">
        <v>1469</v>
      </c>
      <c r="B797" t="str">
        <f t="shared" si="12"/>
        <v>Wikirate International e.V.+Data license typeHeckler &amp; Koch AG</v>
      </c>
      <c r="C797" t="s">
        <v>1143</v>
      </c>
      <c r="D797" t="s">
        <v>1412</v>
      </c>
      <c r="E797">
        <v>2023</v>
      </c>
      <c r="F797" t="s">
        <v>1144</v>
      </c>
      <c r="G797" t="s">
        <v>1422</v>
      </c>
      <c r="H797">
        <v>22250908</v>
      </c>
      <c r="J797">
        <v>1</v>
      </c>
    </row>
    <row r="798" spans="1:11">
      <c r="A798" t="s">
        <v>1470</v>
      </c>
      <c r="B798" t="str">
        <f t="shared" si="12"/>
        <v>Wikirate International e.V.+Double materiality assessmentEnercon GmbH</v>
      </c>
      <c r="C798" t="s">
        <v>1195</v>
      </c>
      <c r="D798" t="s">
        <v>1405</v>
      </c>
      <c r="E798">
        <v>2023</v>
      </c>
      <c r="F798" t="s">
        <v>21</v>
      </c>
      <c r="G798" t="s">
        <v>1415</v>
      </c>
      <c r="H798">
        <v>22208842</v>
      </c>
      <c r="J798">
        <v>1</v>
      </c>
      <c r="K798" t="s">
        <v>1471</v>
      </c>
    </row>
    <row r="799" spans="1:11">
      <c r="A799" t="s">
        <v>1472</v>
      </c>
      <c r="B799" t="str">
        <f t="shared" si="12"/>
        <v>Wikirate International e.V.+Double materiality assessmentRTX Corporation</v>
      </c>
      <c r="C799" t="s">
        <v>1195</v>
      </c>
      <c r="D799" t="s">
        <v>1408</v>
      </c>
      <c r="E799">
        <v>2023</v>
      </c>
      <c r="F799" t="s">
        <v>21</v>
      </c>
      <c r="G799" t="s">
        <v>1419</v>
      </c>
      <c r="H799">
        <v>22247553</v>
      </c>
      <c r="I799" t="s">
        <v>1420</v>
      </c>
      <c r="J799">
        <v>1</v>
      </c>
    </row>
    <row r="800" spans="1:11">
      <c r="A800" t="s">
        <v>1473</v>
      </c>
      <c r="B800" t="str">
        <f t="shared" si="12"/>
        <v>Wikirate International e.V.+Double materiality assessmentHeckler &amp; Koch AG</v>
      </c>
      <c r="C800" t="s">
        <v>1195</v>
      </c>
      <c r="D800" t="s">
        <v>1412</v>
      </c>
      <c r="E800">
        <v>2023</v>
      </c>
      <c r="F800" t="s">
        <v>21</v>
      </c>
      <c r="G800" t="s">
        <v>1422</v>
      </c>
      <c r="H800">
        <v>22250913</v>
      </c>
      <c r="J800">
        <v>1</v>
      </c>
      <c r="K800" t="s">
        <v>1474</v>
      </c>
    </row>
    <row r="801" spans="1:11">
      <c r="A801" t="s">
        <v>1475</v>
      </c>
      <c r="B801" t="str">
        <f t="shared" si="12"/>
        <v>Wikirate International e.V.+Lobbying budget disclosedEnercon GmbH</v>
      </c>
      <c r="C801" t="s">
        <v>1280</v>
      </c>
      <c r="D801" t="s">
        <v>1405</v>
      </c>
      <c r="E801">
        <v>2023</v>
      </c>
      <c r="F801" t="s">
        <v>21</v>
      </c>
      <c r="G801" t="s">
        <v>1415</v>
      </c>
      <c r="H801">
        <v>22208848</v>
      </c>
      <c r="J801">
        <v>1</v>
      </c>
    </row>
    <row r="802" spans="1:11">
      <c r="A802" t="s">
        <v>1479</v>
      </c>
      <c r="B802" t="str">
        <f t="shared" si="12"/>
        <v>Wikirate International e.V.+Supplier auditsEnercon GmbH</v>
      </c>
      <c r="C802" t="s">
        <v>13</v>
      </c>
      <c r="D802" t="s">
        <v>1405</v>
      </c>
      <c r="E802">
        <v>2023</v>
      </c>
      <c r="F802" t="s">
        <v>15</v>
      </c>
      <c r="G802" t="s">
        <v>1415</v>
      </c>
      <c r="H802">
        <v>22208858</v>
      </c>
      <c r="J802">
        <v>1</v>
      </c>
      <c r="K802" t="s">
        <v>1480</v>
      </c>
    </row>
    <row r="803" spans="1:11">
      <c r="A803" t="s">
        <v>1478</v>
      </c>
      <c r="B803" t="str">
        <f t="shared" si="12"/>
        <v>Wikirate International e.V.+Lobbying budget disclosedHeckler &amp; Koch AG</v>
      </c>
      <c r="C803" t="s">
        <v>1280</v>
      </c>
      <c r="D803" t="s">
        <v>1412</v>
      </c>
      <c r="E803">
        <v>2023</v>
      </c>
      <c r="F803" t="s">
        <v>21</v>
      </c>
      <c r="G803" t="s">
        <v>1422</v>
      </c>
      <c r="H803">
        <v>22250919</v>
      </c>
      <c r="J803">
        <v>1</v>
      </c>
    </row>
    <row r="804" spans="1:11">
      <c r="A804" t="s">
        <v>1481</v>
      </c>
      <c r="B804" t="str">
        <f t="shared" si="12"/>
        <v>Wikirate International e.V.+Supplier auditsRTX Corporation</v>
      </c>
      <c r="C804" t="s">
        <v>13</v>
      </c>
      <c r="D804" t="s">
        <v>1408</v>
      </c>
      <c r="E804">
        <v>2023</v>
      </c>
      <c r="F804" t="s">
        <v>21</v>
      </c>
      <c r="G804" t="s">
        <v>1419</v>
      </c>
      <c r="H804">
        <v>22247569</v>
      </c>
      <c r="I804" t="s">
        <v>1420</v>
      </c>
      <c r="J804">
        <v>1</v>
      </c>
      <c r="K804" t="s">
        <v>1482</v>
      </c>
    </row>
    <row r="805" spans="1:11">
      <c r="A805" t="s">
        <v>1476</v>
      </c>
      <c r="B805" t="str">
        <f t="shared" si="12"/>
        <v>Wikirate International e.V.+Lobbying budget disclosedRTX Corporation</v>
      </c>
      <c r="C805" t="s">
        <v>1280</v>
      </c>
      <c r="D805" t="s">
        <v>1408</v>
      </c>
      <c r="E805">
        <v>2023</v>
      </c>
      <c r="F805" t="s">
        <v>21</v>
      </c>
      <c r="G805" t="s">
        <v>1419</v>
      </c>
      <c r="H805">
        <v>22247558</v>
      </c>
      <c r="I805" t="s">
        <v>1420</v>
      </c>
      <c r="J805">
        <v>1</v>
      </c>
      <c r="K805" t="s">
        <v>1477</v>
      </c>
    </row>
    <row r="806" spans="1:11">
      <c r="A806" t="s">
        <v>1483</v>
      </c>
      <c r="B806" t="str">
        <f t="shared" si="12"/>
        <v>Wikirate International e.V.+Supplier auditsHeckler &amp; Koch AG</v>
      </c>
      <c r="C806" t="s">
        <v>13</v>
      </c>
      <c r="D806" t="s">
        <v>1412</v>
      </c>
      <c r="E806">
        <v>2023</v>
      </c>
      <c r="F806" t="s">
        <v>15</v>
      </c>
      <c r="G806" t="s">
        <v>1422</v>
      </c>
      <c r="H806">
        <v>22250929</v>
      </c>
      <c r="J806">
        <v>1</v>
      </c>
      <c r="K806" t="s">
        <v>1484</v>
      </c>
    </row>
  </sheetData>
  <autoFilter ref="A5:K806" xr:uid="{DA37449A-AE42-E241-8676-CF6BEB6450F4}"/>
  <pageMargins left="0.75" right="0.75" top="1" bottom="1" header="0.5" footer="0.5"/>
  <pageSetup paperSize="9" orientation="portrait" horizontalDpi="0" verticalDpi="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0797-B2D0-5F4F-A644-F628646AFDEF}">
  <sheetPr codeName="Sheet7"/>
  <dimension ref="A1:I30"/>
  <sheetViews>
    <sheetView topLeftCell="A13" workbookViewId="0">
      <selection activeCell="E9" sqref="E9"/>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BASF SE</v>
      </c>
    </row>
    <row r="2" spans="1:9" ht="23">
      <c r="A2" s="8" t="s">
        <v>1616</v>
      </c>
      <c r="B2" s="18">
        <f>SUM(E5:E16)/12</f>
        <v>7.583333333333333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https://wikirate.org/~22206688</v>
      </c>
      <c r="H5" s="14" t="str">
        <f ca="1">VLOOKUP($A5&amp;$B$1,'Export 3 Oct'!$B$6:$K$851,10, FALSE)</f>
        <v>Google Search Niclas Kautz[https://wikirate.org/Niclas_Kautz].....2025-06-06 09:43:20 UTC</v>
      </c>
      <c r="I5" s="12"/>
    </row>
    <row r="6" spans="1:9" ht="112">
      <c r="A6" s="13" t="s">
        <v>242</v>
      </c>
      <c r="B6" s="14" t="s">
        <v>1497</v>
      </c>
      <c r="C6" s="14" t="s">
        <v>1525</v>
      </c>
      <c r="D6" s="14" t="str">
        <f ca="1">VLOOKUP($A6&amp;$B$1,'Export 3 Oct'!$B$6:$K$851,5, FALSE)</f>
        <v>PDF (text based), Web HTML page, Spreadsheet</v>
      </c>
      <c r="E6" s="12">
        <v>6</v>
      </c>
      <c r="F6" s="12"/>
      <c r="G6" s="12" t="str">
        <f ca="1">VLOOKUP($A6&amp;$B$1,'Export 3 Oct'!$B$6:$K$851,6, FALSE)</f>
        <v>https://wikirate.org/~22206694</v>
      </c>
      <c r="H6" s="14"/>
      <c r="I6" s="12"/>
    </row>
    <row r="7" spans="1:9" ht="48">
      <c r="A7" s="13" t="s">
        <v>901</v>
      </c>
      <c r="B7" s="14" t="s">
        <v>1498</v>
      </c>
      <c r="C7" s="14" t="s">
        <v>1517</v>
      </c>
      <c r="D7" s="14" t="str">
        <f ca="1">VLOOKUP($A7&amp;$B$1,'Export 3 Oct'!$B$6:$K$851,5, FALSE)</f>
        <v>Yes</v>
      </c>
      <c r="E7" s="12">
        <v>10</v>
      </c>
      <c r="F7" s="12"/>
      <c r="G7" s="12" t="str">
        <f ca="1">VLOOKUP($A7&amp;$B$1,'Export 3 Oct'!$B$6:$K$851,6, FALSE)</f>
        <v>https://wikirate.org/~22335817</v>
      </c>
      <c r="H7" s="14" t="str">
        <f ca="1">VLOOKUP($A7&amp;$B$1,'Export 3 Oct'!$B$6:$K$851,10, FALSE)</f>
        <v>No single archive on the company website Marc McGowan[https://wikirate.org/Marc_McGowan].....2025-08-14 14:12:34 UTC Found it under 'Reporting' Laureen van Breen[https://wikirate.org/Laureen_van_Breen].....2025-09-21 19:55:34 UTC</v>
      </c>
      <c r="I7" s="12"/>
    </row>
    <row r="8" spans="1:9" ht="48">
      <c r="A8" s="13" t="s">
        <v>629</v>
      </c>
      <c r="B8" s="14" t="s">
        <v>1499</v>
      </c>
      <c r="C8" s="14" t="s">
        <v>1517</v>
      </c>
      <c r="D8" s="14" t="str">
        <f ca="1">VLOOKUP($A8&amp;$B$1,'Export 3 Oct'!$B$6:$K$851,5, FALSE)</f>
        <v>Yes</v>
      </c>
      <c r="E8" s="12">
        <v>10</v>
      </c>
      <c r="F8" s="12"/>
      <c r="G8" s="12" t="str">
        <f ca="1">VLOOKUP($A8&amp;$B$1,'Export 3 Oct'!$B$6:$K$851,6, FALSE)</f>
        <v>https://wikirate.org/~21476132</v>
      </c>
      <c r="H8" s="14" t="str">
        <f ca="1">VLOOKUP($A8&amp;$B$1,'Export 3 Oct'!$B$6:$K$851,10, FALSE)</f>
        <v>The report includes clickable URLs for key resources Niclas Kautz[https://wikirate.org/Niclas_Kautz].....2025-06-06 12:25:20 UTC Example: p. 293 Laureen van Breen[https://wikirate.org/Laureen_van_Breen].....2025-08-08 09:12:12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https://wikirate.org/~22206710</v>
      </c>
      <c r="H9" s="14" t="str">
        <f ca="1">VLOOKUP($A9&amp;$B$1,'Export 3 Oct'!$B$6:$K$851,10, FALSE)</f>
        <v>https://report.basf.com/2024/en/ Niclas Kautz[https://wikirate.org/Niclas_Kautz].....2025-06-06 12:29:10 UTC It is not entirely clear if this includes all their policies and codes of conduct, but it is quite comprehensive. Laureen van Breen[https://wikirate.org/Laureen_van_Breen].....2025-08-08 09:20:40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https://wikirate.org/~21476132</v>
      </c>
      <c r="H10" s="14" t="str">
        <f ca="1">VLOOKUP($A10&amp;$B$1,'Export 3 Oct'!$B$6:$K$851,10, FALSE)</f>
        <v>The BASF Report 2024 does identify the reporting entities covered in its report, but does not specify them using entity IDs. Niclas Kautz[https://wikirate.org/Niclas_Kautz].....2025-06-06 12:13:47 UTC Was not able to locate any entity IDs in the company's report. Laureen van Breen[https://wikirate.org/Laureen_van_Breen].....2025-08-08 09:00:16 UTC p. 336 "BASF SE (registered at the district trade register, or Amtsgericht, for Ludwigshafen am Rhein, number HRB 6000) is a publicly listed corporation headquartered in Ludwigshafen am Rhein, Germany. Its official address is Carl-Bosch-Str. 38, 67056 Ludwigshafen am Rhein, Germany." Laureen van Breen[https://wikirate.org/Laureen_van_Breen].....2025-09-21 20:00:52 UTC</v>
      </c>
      <c r="I10" s="12"/>
    </row>
    <row r="11" spans="1:9" ht="128">
      <c r="A11" s="13" t="s">
        <v>412</v>
      </c>
      <c r="B11" s="14" t="s">
        <v>1502</v>
      </c>
      <c r="C11" s="14" t="s">
        <v>1517</v>
      </c>
      <c r="D11" s="14" t="str">
        <f ca="1">VLOOKUP($A11&amp;$B$1,'Export 3 Oct'!$B$6:$K$851,5, FALSE)</f>
        <v>Yes</v>
      </c>
      <c r="E11" s="12">
        <v>10</v>
      </c>
      <c r="F11" s="12"/>
      <c r="G11" s="12" t="str">
        <f ca="1">VLOOKUP($A11&amp;$B$1,'Export 3 Oct'!$B$6:$K$851,6, FALSE)</f>
        <v>https://wikirate.org/~21476132</v>
      </c>
      <c r="H11" s="14" t="str">
        <f ca="1">VLOOKUP($A11&amp;$B$1,'Export 3 Oct'!$B$6:$K$851,10, FALSE)</f>
        <v>January 1, 2024, to December 31, 2024 Niclas Kautz[https://wikirate.org/Niclas_Kautz].....2025-06-06 12:16:06 UTC We have conducted a limited assurance engagement on the Sustainability Statement of BASF SE, Ludwigshafen am Rhein/Germany, combining the Consolidated Sustainability Statement and the nonfinancial statement of the parent (‚ÄúCombined Sustainability Statement‚Äù), included in section ‚Äú(Consolidated) Sustainability Statement‚Äù of the combined management report for the parent and the group, for the financial year from January 1, 2024 to December 31, 2024. p. 457 Laureen van Breen[https://wikirate.org/Laureen_van_Breen].....2025-08-08 09:02:23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https://wikirate.org/~21476132</v>
      </c>
      <c r="H12" s="14"/>
      <c r="I12" s="12"/>
    </row>
    <row r="13" spans="1:9" ht="208">
      <c r="A13" s="13" t="s">
        <v>1044</v>
      </c>
      <c r="B13" s="14" t="s">
        <v>1504</v>
      </c>
      <c r="C13" s="14" t="s">
        <v>1520</v>
      </c>
      <c r="D13" s="14" t="str">
        <f ca="1">VLOOKUP($A13&amp;$B$1,'Export 3 Oct'!$B$6:$K$851,5, FALSE)</f>
        <v>CSRD (ESRS), CDP, Greenhouse Gas Protocol, Other</v>
      </c>
      <c r="E13" s="12">
        <v>10</v>
      </c>
      <c r="F13" s="12"/>
      <c r="G13" s="12" t="str">
        <f ca="1">VLOOKUP($A13&amp;$B$1,'Export 3 Oct'!$B$6:$K$851,6, FALSE)</f>
        <v>https://wikirate.org/~21476132</v>
      </c>
      <c r="H13" s="14" t="str">
        <f ca="1">VLOOKUP($A13&amp;$B$1,'Export 3 Oct'!$B$6:$K$851,10, FALSE)</f>
        <v>P30 States GHG emissions calculated according to the Greenhouse Gas Protocol P147 ESRS index Marc McGowan[https://wikirate.org/Marc_McGowan].....2025-08-14 14:48:05 UTC "Scope 3 emissions arising upstream and downstream of our operations in the value chain are calculated in accordance with the Corporate Value Chain (Scope 3) Accounting and Reporting Standard published by the Greenhouse Gas Protocol and the WBCSD Guidance for Accounting and Reporting Corporate GHG Emissions in the Chemical Sector Value Chain (WBCSD Chemicals)." p. 199 Laureen van Breen[https://wikirate.org/Laureen_van_Breen].....2025-09-21 20:04:37 UTC "We report transparently and comprehensively on how we use water. For instance, in 2024, we again participated in the program established by the nonprofit organization CDP for reporting on data relevant to climate protection on the topic of water. BASF again achieved leadership status with an A- rating in the final assessment. CDP evaluates how transparently companies report on their water ma...</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https://wikirate.org/~21476132</v>
      </c>
      <c r="H14" s="14" t="str">
        <f ca="1">VLOOKUP($A14&amp;$B$1,'Export 3 Oct'!$B$6:$K$851,10, FALSE)</f>
        <v>The report uses explicit ESRS indicator codes such as: ESRS 2 SBM-1, ESRS E1, ESRS E4, ESRS S1, etc. These codes are: Clearly labeled next to relevant sections in the (Consolidated) Sustainability Statement. Highlighted with an ‚ÄúESRS‚Äù icon or heading to denote fulfillment of specific disclosure requirements. Niclas Kautz[https://wikirate.org/Niclas_Kautz].....2025-06-06 12:20:31 UTC Alongside dislcosure example: p. 205 Index: p. 147-149 Laureen van Breen[https://wikirate.org/Laureen_van_Breen].....2025-08-08 09:06:36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https://wikirate.org/~21484761</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https://wikirate.org/~21476132</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Yes</v>
      </c>
      <c r="E18" s="12" t="s">
        <v>1515</v>
      </c>
      <c r="F18" s="12"/>
      <c r="G18" s="12" t="str">
        <f ca="1">VLOOKUP($A18&amp;$B$1,'Export 3 Oct'!$B$6:$K$851,6, FALSE)</f>
        <v>https://wikirate.org/~21476132</v>
      </c>
      <c r="H18" s="14" t="str">
        <f ca="1">VLOOKUP($A18&amp;$B$1,'Export 3 Oct'!$B$6:$K$851,10, FALSE)</f>
        <v>P167 Double materiality assessment Marc McGowan[https://wikirate.org/Marc_McGowan].....2025-08-14 14:53:08 UTC "We carried out a double materiality assessment in accordance with the ESRSs for the first time in 2024. The assessment was performed on the basis of previous double materiality assessments, but with an increased level of granularity and more extensive documentation." p. 167 Laureen van Breen[https://wikirate.org/Laureen_van_Breen].....2025-09-21 20:09:56 UTC</v>
      </c>
      <c r="I18" s="12"/>
    </row>
    <row r="19" spans="1:9" ht="80">
      <c r="A19" s="13" t="s">
        <v>1280</v>
      </c>
      <c r="B19" s="14" t="s">
        <v>1509</v>
      </c>
      <c r="C19" s="12" t="s">
        <v>1523</v>
      </c>
      <c r="D19" s="14" t="str">
        <f ca="1">VLOOKUP($A19&amp;$B$1,'Export 3 Oct'!$B$6:$K$851,5, FALSE)</f>
        <v>No</v>
      </c>
      <c r="E19" s="12" t="s">
        <v>1515</v>
      </c>
      <c r="F19" s="12"/>
      <c r="G19" s="12" t="str">
        <f ca="1">VLOOKUP($A19&amp;$B$1,'Export 3 Oct'!$B$6:$K$851,6, FALSE)</f>
        <v>https://wikirate.org/~21476132</v>
      </c>
      <c r="H19" s="14" t="str">
        <f ca="1">VLOOKUP($A19&amp;$B$1,'Export 3 Oct'!$B$6:$K$851,10, FALSE)</f>
        <v>P166 states it does not contribute to any political party, however does not disclose a budget for any other lobbying activities Marc McGowan[https://wikirate.org/Marc_McGowan].....2025-08-14 15:06:39 UTC "BASF does not financially support political parties, for example, through donations in cash or in kind. This is codified in global requirements." p. 166 Laureen van Breen[https://wikirate.org/Laureen_van_Breen].....2025-09-21 20:11:38 UTC</v>
      </c>
      <c r="I19" s="12"/>
    </row>
    <row r="20" spans="1:9" ht="96">
      <c r="A20" s="13" t="s">
        <v>814</v>
      </c>
      <c r="B20" s="14" t="s">
        <v>1510</v>
      </c>
      <c r="C20" s="14" t="s">
        <v>1524</v>
      </c>
      <c r="D20" s="14" t="str">
        <f ca="1">VLOOKUP($A20&amp;$B$1,'Export 3 Oct'!$B$6:$K$851,5, FALSE)</f>
        <v>Limited assurance</v>
      </c>
      <c r="E20" s="12" t="s">
        <v>1515</v>
      </c>
      <c r="F20" s="12"/>
      <c r="G20" s="12" t="str">
        <f ca="1">VLOOKUP($A20&amp;$B$1,'Export 3 Oct'!$B$6:$K$851,6, FALSE)</f>
        <v>https://wikirate.org/~21476132</v>
      </c>
      <c r="H20" s="14" t="str">
        <f ca="1">VLOOKUP($A20&amp;$B$1,'Export 3 Oct'!$B$6:$K$851,10, FALSE)</f>
        <v>We have conducted a limited assurance engagement on the Sustainability Statement of BASF SE, Ludwigshafen am Rhein/Germany, combining the Consolidated Sustainability Statement and the nonfinancial statement of the parent (‚ÄúCombined Sustainability Statement‚Äù), included in section ‚Äú(Consolidated) Sustainability Statement‚Äù of the combined management report for the parent and the group, for the financial year from January 1, 2024 to December 31, 2024. p. 457 Laureen van Breen[https://wikirate.org/Laureen_van_Breen].....2025-08-08 09:25:28 UTC</v>
      </c>
      <c r="I20" s="12"/>
    </row>
    <row r="21" spans="1:9" ht="96">
      <c r="A21" s="13" t="s">
        <v>13</v>
      </c>
      <c r="B21" s="14" t="s">
        <v>1511</v>
      </c>
      <c r="C21" s="12" t="s">
        <v>1523</v>
      </c>
      <c r="D21" s="14" t="str">
        <f ca="1">VLOOKUP($A21&amp;$B$1,'Export 3 Oct'!$B$6:$K$851,5, FALSE)</f>
        <v>Yes</v>
      </c>
      <c r="E21" s="12" t="s">
        <v>1515</v>
      </c>
      <c r="F21" s="12"/>
      <c r="G21" s="12" t="str">
        <f ca="1">VLOOKUP($A21&amp;$B$1,'Export 3 Oct'!$B$6:$K$851,6, FALSE)</f>
        <v>https://wikirate.org/~21476132</v>
      </c>
      <c r="H21" s="14" t="str">
        <f ca="1">VLOOKUP($A21&amp;$B$1,'Export 3 Oct'!$B$6:$K$851,10, FALSE)</f>
        <v>P192 BASF arranges third-party on-site audits Marc McGowan[https://wikirate.org/Marc_McGowan].....2025-08-14 15:10:30 UTC "We arrange for third parties to evaluate suppliers with a high sustainability risk using either on-site audits or sustainability assessments by rating agency EcoVadis. Supplier assessment is mainly performed as part of the chemical industry‚Äôs Together for Sustainability initiative." p.192 Laureen van Breen[https://wikirate.org/Laureen_van_Breen].....2025-09-21 20:13:45 UTC</v>
      </c>
      <c r="I21" s="12"/>
    </row>
    <row r="26" spans="1:9">
      <c r="A26" s="39" t="s">
        <v>1634</v>
      </c>
    </row>
    <row r="27" spans="1:9">
      <c r="A27" s="38" t="s">
        <v>1630</v>
      </c>
      <c r="B27" s="40">
        <f>AVERAGE($E$5,$E$6,$E$7)</f>
        <v>8.6666666666666661</v>
      </c>
    </row>
    <row r="28" spans="1:9">
      <c r="A28" s="38" t="s">
        <v>1631</v>
      </c>
      <c r="B28" s="40">
        <f>AVERAGE($E$8,$E$9)</f>
        <v>7.5</v>
      </c>
    </row>
    <row r="29" spans="1:9">
      <c r="A29" s="38" t="s">
        <v>1632</v>
      </c>
      <c r="B29" s="40">
        <f>AVERAGE($E$10,$E$11,$E$12,$E$13,$E$14)</f>
        <v>10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F8C5D-E521-584A-BA96-D9D508BF5DAF}">
  <sheetPr codeName="Sheet8"/>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Bayer AG</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https://wikirate.org/~22166877</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https://wikirate.org/~21484702</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https://wikirate.org/~22166877</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https://wikirate.org/~21484702</v>
      </c>
      <c r="H8" s="14"/>
      <c r="I8" s="12"/>
    </row>
    <row r="9" spans="1:9" ht="64">
      <c r="A9" s="13" t="s">
        <v>701</v>
      </c>
      <c r="B9" s="14" t="s">
        <v>1500</v>
      </c>
      <c r="C9" s="14" t="s">
        <v>1518</v>
      </c>
      <c r="D9" s="14" t="str">
        <f ca="1">VLOOKUP($A9&amp;$B$1,'Export 3 Oct'!$B$6:$K$851,5, FALSE)</f>
        <v>No</v>
      </c>
      <c r="E9" s="12">
        <v>0</v>
      </c>
      <c r="F9" s="12"/>
      <c r="G9" s="12" t="str">
        <f ca="1">VLOOKUP($A9&amp;$B$1,'Export 3 Oct'!$B$6:$K$851,6, FALSE)</f>
        <v>https://wikirate.org/~21484702</v>
      </c>
      <c r="H9" s="14" t="str">
        <f ca="1">VLOOKUP($A9&amp;$B$1,'Export 3 Oct'!$B$6:$K$851,10, FALSE)</f>
        <v>The documents are scattered across different pages of the website so not one archive or library... Laureen van Breen[https://wikirate.org/Laureen_van_Breen].....2025-09-21 20:29:52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https://wikirate.org/~21484702</v>
      </c>
      <c r="H10" s="14" t="str">
        <f ca="1">VLOOKUP($A10&amp;$B$1,'Export 3 Oct'!$B$6:$K$851,10, FALSE)</f>
        <v>"Bayer Aktiengesellschaft (Bayer AG), which is entered in the commercial register of the Local Court of Cologne, Germany, HRB 48248, is a global enterprise based in Germany. Its registered office is at Kaiser-Wilhelm-Allee 1, 51368 Leverkusen. " p. 261 Laureen van Breen[https://wikirate.org/Laureen_van_Breen].....2025-09-21 20:35:47 UTC</v>
      </c>
      <c r="I10" s="12"/>
    </row>
    <row r="11" spans="1:9" ht="96">
      <c r="A11" s="13" t="s">
        <v>412</v>
      </c>
      <c r="B11" s="14" t="s">
        <v>1502</v>
      </c>
      <c r="C11" s="14" t="s">
        <v>1517</v>
      </c>
      <c r="D11" s="14" t="str">
        <f ca="1">VLOOKUP($A11&amp;$B$1,'Export 3 Oct'!$B$6:$K$851,5, FALSE)</f>
        <v>Yes</v>
      </c>
      <c r="E11" s="12">
        <v>10</v>
      </c>
      <c r="F11" s="12"/>
      <c r="G11" s="12" t="str">
        <f ca="1">VLOOKUP($A11&amp;$B$1,'Export 3 Oct'!$B$6:$K$851,6, FALSE)</f>
        <v>https://wikirate.org/~21484702</v>
      </c>
      <c r="H11" s="14" t="str">
        <f ca="1">VLOOKUP($A11&amp;$B$1,'Export 3 Oct'!$B$6:$K$851,10, FALSE)</f>
        <v>fiscal year 2024 Lucia Ixtacuy[https://wikirate.org/Lucia_Ixtacuy].....2025-07-21 18:06:13 UTC "We have conducted a limited assurance engagement on the Consolidated Sustainability Statement of Bayer Aktiengesellschaft, Leverkusen/Germany, for the financial year from January 1 to December 31, 2024, included in section ‚ÄúSustainability Statement‚Äù of the combined management report on the parent and the group." p. 361 Laureen van Breen[https://wikirate.org/Laureen_van_Breen].....2025-09-21 20:39:15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https://wikirate.org/~21484702</v>
      </c>
      <c r="H12" s="14"/>
      <c r="I12" s="12"/>
    </row>
    <row r="13" spans="1:9" ht="208">
      <c r="A13" s="13" t="s">
        <v>1044</v>
      </c>
      <c r="B13" s="14" t="s">
        <v>1504</v>
      </c>
      <c r="C13" s="14" t="s">
        <v>1520</v>
      </c>
      <c r="D13" s="14" t="str">
        <f ca="1">VLOOKUP($A13&amp;$B$1,'Export 3 Oct'!$B$6:$K$851,5, FALSE)</f>
        <v>GRI Standards, CSRD (ESRS), CDP, Greenhouse Gas Protocol, Other</v>
      </c>
      <c r="E13" s="12">
        <v>10</v>
      </c>
      <c r="F13" s="12"/>
      <c r="G13" s="12" t="str">
        <f ca="1">VLOOKUP($A13&amp;$B$1,'Export 3 Oct'!$B$6:$K$851,6, FALSE)</f>
        <v>https://wikirate.org/~21484702</v>
      </c>
      <c r="H13" s="14" t="str">
        <f ca="1">VLOOKUP($A13&amp;$B$1,'Export 3 Oct'!$B$6:$K$851,10, FALSE)</f>
        <v>P233: "ESRS Index" P254: "nonfinancial disclosures of Bayer AG are based on the GRI Standards" Marc McGowan[https://wikirate.org/Marc_McGowan].....2025-08-15 11:35:03 UTC p. 116 "We have reported for many years on our Scope 1, 2 and 3 greenhouse gas emissions according to the requirements of the Greenhouse Gas Protocol (GHG Protocol), and on the steps we have taken over the years to reduce our emissions. We therefore accounted for our experiences and findings in the double materiality assessment." Laureen van Breen[https://wikirate.org/Laureen_van_Breen].....2025-09-21 20:42:35 UTC p. 131 "In developing the Transition and Transformation Plan, we utilized the standards of the Transition Plan Taskforce and CDP. " Laureen van Breen[https://wikirate.org/Laureen_van_Breen].....2025-09-21 20:44:25 UTC</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https://wikirate.org/~21484702</v>
      </c>
      <c r="H14" s="14" t="str">
        <f ca="1">VLOOKUP($A14&amp;$B$1,'Export 3 Oct'!$B$6:$K$851,10, FALSE)</f>
        <v>p. 233 Lucia Ixtacuy[https://wikirate.org/Lucia_Ixtacuy].....2025-07-21 18:46:38 UTC index: p. 233-240 however there are no page references so it does not meet the requirements of this criteria alongside disclosure: example p. 158 or 184 Laureen van Breen[https://wikirate.org/Laureen_van_Breen].....2025-09-21 20:49:01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https://wikirate.org/~21484702</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https://wikirate.org/~21484702</v>
      </c>
      <c r="H16" s="14"/>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https://wikirate.org/~21484702</v>
      </c>
      <c r="H18" s="14" t="str">
        <f ca="1">VLOOKUP($A18&amp;$B$1,'Export 3 Oct'!$B$6:$K$851,10, FALSE)</f>
        <v>P97: "we identify through the double materiality assessment financial impacts that sustainability matters have on our company, as well as the impacts that our own operations and our activities within our value chain have on these factors." Marc McGowan[https://wikirate.org/Marc_McGowan].....2025-08-15 11:38:10 UTC</v>
      </c>
      <c r="I18" s="12"/>
    </row>
    <row r="19" spans="1:9" ht="96">
      <c r="A19" s="13" t="s">
        <v>1280</v>
      </c>
      <c r="B19" s="14" t="s">
        <v>1509</v>
      </c>
      <c r="C19" s="12" t="s">
        <v>1523</v>
      </c>
      <c r="D19" s="14" t="str">
        <f ca="1">VLOOKUP($A19&amp;$B$1,'Export 3 Oct'!$B$6:$K$851,5, FALSE)</f>
        <v>Yes</v>
      </c>
      <c r="E19" s="12" t="s">
        <v>1515</v>
      </c>
      <c r="F19" s="12"/>
      <c r="G19" s="12" t="str">
        <f ca="1">VLOOKUP($A19&amp;$B$1,'Export 3 Oct'!$B$6:$K$851,6, FALSE)</f>
        <v>https://wikirate.org/~21484702</v>
      </c>
      <c r="H19" s="14" t="str">
        <f ca="1">VLOOKUP($A19&amp;$B$1,'Export 3 Oct'!$B$6:$K$851,10, FALSE)</f>
        <v>P232: "As described in our Bayer Code of Conduct for Responsible Lobbying, we as a company do not donate to political parties, politicians or candidates for political office (2023: ‚Ç¨0). According to US law, however, local company employees can support individual candidates for political office by making private donations through political action committees, or PACs, at the federal level...Our employees donated around ‚Ç¨278,000 to political candidates at all levels through BAYERPAC in 2024" Marc McGowan[https://wikirate.org/Marc_McGowan].....2025-08-15 11:43:15 UTC</v>
      </c>
      <c r="I19" s="12"/>
    </row>
    <row r="20" spans="1:9" ht="96">
      <c r="A20" s="13" t="s">
        <v>814</v>
      </c>
      <c r="B20" s="14" t="s">
        <v>1510</v>
      </c>
      <c r="C20" s="14" t="s">
        <v>1524</v>
      </c>
      <c r="D20" s="14" t="str">
        <f ca="1">VLOOKUP($A20&amp;$B$1,'Export 3 Oct'!$B$6:$K$851,5, FALSE)</f>
        <v>Limited assurance</v>
      </c>
      <c r="E20" s="12" t="s">
        <v>1515</v>
      </c>
      <c r="F20" s="12"/>
      <c r="G20" s="12" t="str">
        <f ca="1">VLOOKUP($A20&amp;$B$1,'Export 3 Oct'!$B$6:$K$851,6, FALSE)</f>
        <v>https://wikirate.org/~21484702</v>
      </c>
      <c r="H20" s="14" t="str">
        <f ca="1">VLOOKUP($A20&amp;$B$1,'Export 3 Oct'!$B$6:$K$851,10, FALSE)</f>
        <v>P. 361 Lucia Ixtacuy[https://wikirate.org/Lucia_Ixtacuy].....2025-07-24 20:48:42 UTC "We have conducted a limited assurance engagement on the Consolidated Sustainability Statement of Bayer Aktiengesellschaft, Leverkusen/Germany, for the financial year from January 1 to December 31, 2024, included in section ‚ÄúSustainability Statement‚Äù of the combined management report on the parent and the group. " p. 361 Laureen van Breen[https://wikirate.org/Laureen_van_Breen].....2025-09-21 20:53:55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https://wikirate.org/~21484702</v>
      </c>
      <c r="H21" s="14" t="str">
        <f ca="1">VLOOKUP($A21&amp;$B$1,'Export 3 Oct'!$B$6:$K$851,10, FALSE)</f>
        <v>P202: "Grievance management (Speak Up Channel) and supplier audits are available to us as a primary means of identifying corrective and remedial measures." Marc McGowan[https://wikirate.org/Marc_McGowan].....2025-08-15 11:44:37 UTC</v>
      </c>
      <c r="I21" s="12"/>
    </row>
    <row r="26" spans="1:9">
      <c r="A26" s="39" t="s">
        <v>1634</v>
      </c>
    </row>
    <row r="27" spans="1:9">
      <c r="A27" s="38" t="s">
        <v>1630</v>
      </c>
      <c r="B27" s="40">
        <f>AVERAGE($E$5,$E$6,$E$7)</f>
        <v>8</v>
      </c>
    </row>
    <row r="28" spans="1:9">
      <c r="A28" s="38" t="s">
        <v>1631</v>
      </c>
      <c r="B28" s="40">
        <f>AVERAGE($E$8,$E$9)</f>
        <v>0</v>
      </c>
    </row>
    <row r="29" spans="1:9">
      <c r="A29" s="38" t="s">
        <v>1632</v>
      </c>
      <c r="B29" s="40">
        <f>AVERAGE($E$10,$E$11,$E$12,$E$13,$E$14)</f>
        <v>10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BD815-729C-4244-AAD1-EE29258BA1A7}">
  <sheetPr codeName="Sheet9"/>
  <dimension ref="A1:I30"/>
  <sheetViews>
    <sheetView topLeftCell="A22"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BMW AG</v>
      </c>
    </row>
    <row r="2" spans="1:9" ht="23">
      <c r="A2" s="8" t="s">
        <v>1616</v>
      </c>
      <c r="B2" s="18">
        <f>SUM(E5:E16)/12</f>
        <v>6.25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https://wikirate.org/~22170515</v>
      </c>
      <c r="H5" s="14"/>
      <c r="I5" s="12"/>
    </row>
    <row r="6" spans="1:9" ht="112">
      <c r="A6" s="13" t="s">
        <v>242</v>
      </c>
      <c r="B6" s="14" t="s">
        <v>1497</v>
      </c>
      <c r="C6" s="14" t="s">
        <v>1525</v>
      </c>
      <c r="D6" s="14" t="str">
        <f ca="1">VLOOKUP($A6&amp;$B$1,'Export 3 Oct'!$B$6:$K$851,5, FALSE)</f>
        <v>PDF (text based), Web HTML page</v>
      </c>
      <c r="E6" s="12">
        <v>5</v>
      </c>
      <c r="F6" s="12"/>
      <c r="G6" s="12" t="str">
        <f ca="1">VLOOKUP($A6&amp;$B$1,'Export 3 Oct'!$B$6:$K$851,6, FALSE)</f>
        <v>https://wikirate.org/~22170515</v>
      </c>
      <c r="H6" s="14" t="str">
        <f ca="1">VLOOKUP($A6&amp;$B$1,'Export 3 Oct'!$B$6:$K$851,10, FALSE)</f>
        <v>There is also an HTML version available on the company website. Laureen van Breen[https://wikirate.org/Laureen_van_Breen].....2025-07-31 09:13:53 UTC HTML version https://www.bmwgroup.com/en/report/2024/index.html Lucia Ixtacuy[https://wikirate.org/Lucia_Ixtacuy].....2025-08-25 19:49:30 UTC</v>
      </c>
      <c r="I6" s="12"/>
    </row>
    <row r="7" spans="1:9" ht="32">
      <c r="A7" s="13" t="s">
        <v>901</v>
      </c>
      <c r="B7" s="14" t="s">
        <v>1498</v>
      </c>
      <c r="C7" s="14" t="s">
        <v>1517</v>
      </c>
      <c r="D7" s="14" t="str">
        <f ca="1">VLOOKUP($A7&amp;$B$1,'Export 3 Oct'!$B$6:$K$851,5, FALSE)</f>
        <v>Yes</v>
      </c>
      <c r="E7" s="12">
        <v>10</v>
      </c>
      <c r="F7" s="12"/>
      <c r="G7" s="12" t="str">
        <f ca="1">VLOOKUP($A7&amp;$B$1,'Export 3 Oct'!$B$6:$K$851,6, FALSE)</f>
        <v>https://wikirate.org/~22249324</v>
      </c>
      <c r="H7" s="14" t="str">
        <f ca="1">VLOOKUP($A7&amp;$B$1,'Export 3 Oct'!$B$6:$K$851,10, FALSE)</f>
        <v>Annual and quarterly reports are available till 2014 Marc McGowan[https://wikirate.org/Marc_McGowan].....2025-08-06 07:52:26 UTC</v>
      </c>
      <c r="I7" s="12"/>
    </row>
    <row r="8" spans="1:9" ht="32">
      <c r="A8" s="13" t="s">
        <v>629</v>
      </c>
      <c r="B8" s="14" t="s">
        <v>1499</v>
      </c>
      <c r="C8" s="14" t="s">
        <v>1517</v>
      </c>
      <c r="D8" s="14" t="str">
        <f ca="1">VLOOKUP($A8&amp;$B$1,'Export 3 Oct'!$B$6:$K$851,5, FALSE)</f>
        <v>Yes</v>
      </c>
      <c r="E8" s="12">
        <v>10</v>
      </c>
      <c r="F8" s="12"/>
      <c r="G8" s="12" t="str">
        <f ca="1">VLOOKUP($A8&amp;$B$1,'Export 3 Oct'!$B$6:$K$851,6, FALSE)</f>
        <v>https://wikirate.org/~21476075</v>
      </c>
      <c r="H8" s="14" t="str">
        <f ca="1">VLOOKUP($A8&amp;$B$1,'Export 3 Oct'!$B$6:$K$851,10, FALSE)</f>
        <v>For examples see page 106 and 138 Laureen van Breen[https://wikirate.org/Laureen_van_Breen].....2025-07-31 09:28:59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https://wikirate.org/~22170540</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https://wikirate.org/~21476075</v>
      </c>
      <c r="H10" s="14" t="str">
        <f ca="1">VLOOKUP($A10&amp;$B$1,'Export 3 Oct'!$B$6:$K$851,10, FALSE)</f>
        <v>The BMW Group Sustainability Report 2024 does not explicitly mention LEIs or other unique legal entity identifiers. The report refers to the BMW Group as a consolidated group, including BMW, MINI, Rolls-Royce, BMW Motorrad and their global subsidiaries, but does not specify their legal entity IDs or local registrations. Therefore, no LEI or comparable ID could be extracted. Anna Diwo[https://wikirate.org/Anna_Diwo].....2025-06-01 13:14:15 UTC</v>
      </c>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https://wikirate.org/~21476075</v>
      </c>
      <c r="H11" s="14" t="str">
        <f ca="1">VLOOKUP($A11&amp;$B$1,'Export 3 Oct'!$B$6:$K$851,10, FALSE)</f>
        <v>01.01‚Äì31.12.2024 Anna Diwo[https://wikirate.org/Anna_Diwo].....2025-06-01 13:16:20 UTC p. 6 The reporting period covers the financial year from 1 January to 31 December 2024. Laureen van Breen[https://wikirate.org/Laureen_van_Breen].....2025-07-31 09:21:23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https://wikirate.org/~21476075</v>
      </c>
      <c r="H12" s="14"/>
      <c r="I12" s="12"/>
    </row>
    <row r="13" spans="1:9" ht="208">
      <c r="A13" s="13" t="s">
        <v>1044</v>
      </c>
      <c r="B13" s="14" t="s">
        <v>1504</v>
      </c>
      <c r="C13" s="14" t="s">
        <v>1520</v>
      </c>
      <c r="D13" s="14" t="str">
        <f ca="1">VLOOKUP($A13&amp;$B$1,'Export 3 Oct'!$B$6:$K$851,5, FALSE)</f>
        <v>GRI Standards, SASB, CSRD (ESRS), Greenhouse Gas Protocol, National standards, Other</v>
      </c>
      <c r="E13" s="12">
        <v>10</v>
      </c>
      <c r="F13" s="12"/>
      <c r="G13" s="12" t="str">
        <f ca="1">VLOOKUP($A13&amp;$B$1,'Export 3 Oct'!$B$6:$K$851,6, FALSE)</f>
        <v>https://wikirate.org/~21476075</v>
      </c>
      <c r="H13" s="14" t="str">
        <f ca="1">VLOOKUP($A13&amp;$B$1,'Export 3 Oct'!$B$6:$K$851,10, FALSE)</f>
        <v>P95 outlines that GRI, SASB, ESRS and several national standards are used with links to indexes used later in the report. P99: "The procedure for measuring all scopes or categories classified as relevant is firmly established in the BMW Group‚Äôs nonfinancial reporting process ‚Üó CO2e footprint, ‚Üó Materiality of the various Scope 3 categories. These metrics are reviewed internally in the event of significant changes and adjusted if necessary. It is also checked whether there are any changes or additions to the relevant categories with reference to the requirements of the Greenhouse Gas Protocol." Marc McGowan[https://wikirate.org/Marc_McGowan].....2025-08-06 08:05:21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https://wikirate.org/~21483482</v>
      </c>
      <c r="H14" s="14" t="str">
        <f ca="1">VLOOKUP($A14&amp;$B$1,'Export 3 Oct'!$B$6:$K$851,10, FALSE)</f>
        <v>from page 237 on Anna Diwo[https://wikirate.org/Anna_Diwo].....2025-06-01 13:25:17 UTC Removed 'alongside disclosures' answer option - which does not apply. Indeed an ESRS index on page 237-245 Laureen van Breen[https://wikirate.org/Laureen_van_Breen].....2025-07-31 09:25:31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https://wikirate.org/~21476075</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https://wikirate.org/~21476075</v>
      </c>
      <c r="H16" s="14"/>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https://wikirate.org/~21476075</v>
      </c>
      <c r="H18" s="14" t="str">
        <f ca="1">VLOOKUP($A18&amp;$B$1,'Export 3 Oct'!$B$6:$K$851,10, FALSE)</f>
        <v>P103: "As part of the preparation of the 2024 Sustainability Statement, the material impacts, risks and opportunities were evaluated for the first time in accordance with the double materiality requirements for sustainability topics. A total of 85 material impacts, risks and opportunities were identified" Marc McGowan[https://wikirate.org/Marc_McGowan].....2025-08-06 08:09:43 UTC</v>
      </c>
      <c r="I18" s="12"/>
    </row>
    <row r="19" spans="1:9" ht="32">
      <c r="A19" s="13" t="s">
        <v>1280</v>
      </c>
      <c r="B19" s="14" t="s">
        <v>1509</v>
      </c>
      <c r="C19" s="12" t="s">
        <v>1523</v>
      </c>
      <c r="D19" s="14" t="str">
        <f ca="1">VLOOKUP($A19&amp;$B$1,'Export 3 Oct'!$B$6:$K$851,5, FALSE)</f>
        <v>Yes</v>
      </c>
      <c r="E19" s="12" t="s">
        <v>1515</v>
      </c>
      <c r="F19" s="12"/>
      <c r="G19" s="12" t="str">
        <f ca="1">VLOOKUP($A19&amp;$B$1,'Export 3 Oct'!$B$6:$K$851,6, FALSE)</f>
        <v>https://wikirate.org/~21476075</v>
      </c>
      <c r="H19" s="14" t="str">
        <f ca="1">VLOOKUP($A19&amp;$B$1,'Export 3 Oct'!$B$6:$K$851,10, FALSE)</f>
        <v>P193: "Significant political contributions by recipient group: 2024 - Total 633,257 EUR " Marc McGowan[https://wikirate.org/Marc_McGowan].....2025-08-06 08:19:39 UTC</v>
      </c>
      <c r="I19" s="12"/>
    </row>
    <row r="20" spans="1:9" ht="64">
      <c r="A20" s="13" t="s">
        <v>814</v>
      </c>
      <c r="B20" s="14" t="s">
        <v>1510</v>
      </c>
      <c r="C20" s="14" t="s">
        <v>1524</v>
      </c>
      <c r="D20" s="14" t="str">
        <f ca="1">VLOOKUP($A20&amp;$B$1,'Export 3 Oct'!$B$6:$K$851,5, FALSE)</f>
        <v>Limited assurance</v>
      </c>
      <c r="E20" s="12" t="s">
        <v>1515</v>
      </c>
      <c r="F20" s="12"/>
      <c r="G20" s="12" t="str">
        <f ca="1">VLOOKUP($A20&amp;$B$1,'Export 3 Oct'!$B$6:$K$851,6, FALSE)</f>
        <v>https://wikirate.org/~21476075</v>
      </c>
      <c r="H20" s="14" t="str">
        <f ca="1">VLOOKUP($A20&amp;$B$1,'Export 3 Oct'!$B$6:$K$851,10, FALSE)</f>
        <v>page 417 Anna Diwo[https://wikirate.org/Anna_Diwo].....2025-06-01 13:37:41 UTC The audit report of the sustainability statement is on page 370-372 Interestingly they have done a combination of limited and reasonable assurance, pinpoint which data points have reasonable assurance (p. 370) Laureen van Breen[https://wikirate.org/Laureen_van_Breen].....2025-07-31 09:40:11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https://wikirate.org/~21483482</v>
      </c>
      <c r="H21" s="14" t="str">
        <f ca="1">VLOOKUP($A21&amp;$B$1,'Export 3 Oct'!$B$6:$K$851,10, FALSE)</f>
        <v>P175: in response to social and environmental responsibility in the supplier network- "On-site assessments of supplier locations (on-site assessment)" Marc McGowan[https://wikirate.org/Marc_McGowan].....2025-08-06 08:38:14 UTC</v>
      </c>
      <c r="I21" s="12"/>
    </row>
    <row r="26" spans="1:9">
      <c r="A26" s="39" t="s">
        <v>1634</v>
      </c>
    </row>
    <row r="27" spans="1:9">
      <c r="A27" s="38" t="s">
        <v>1630</v>
      </c>
      <c r="B27" s="40">
        <f>AVERAGE($E$5,$E$6,$E$7)</f>
        <v>8.3333333333333339</v>
      </c>
    </row>
    <row r="28" spans="1:9">
      <c r="A28" s="38" t="s">
        <v>1631</v>
      </c>
      <c r="B28" s="40">
        <f>AVERAGE($E$8,$E$9)</f>
        <v>7.5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104B9-96C3-5846-8FA3-D92878EBDCDB}">
  <sheetPr codeName="Sheet10"/>
  <dimension ref="A1:I30"/>
  <sheetViews>
    <sheetView topLeftCell="A19"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Boehringer Ingelheim GmbH</v>
      </c>
    </row>
    <row r="2" spans="1:9" ht="23">
      <c r="A2" s="8" t="s">
        <v>1616</v>
      </c>
      <c r="B2" s="18">
        <f>SUM(E5:E16)/12</f>
        <v>4.083333333333333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https://wikirate.org/~22219066</v>
      </c>
      <c r="H5" s="14" t="str">
        <f ca="1">VLOOKUP($A5&amp;$B$1,'Export 3 Oct'!$B$6:$K$851,10, FALSE)</f>
        <v>https://www.annualreports.com/Company/boehringer-ingelheim https://www.boehringer-ingelheim.com/annualreport/2024/ at the bottom Yohann[https://wikirate.org/Yohann].....2025-08-15 10:42:04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https://wikirate.org/~21508205</v>
      </c>
      <c r="H6" s="14"/>
      <c r="I6" s="12"/>
    </row>
    <row r="7" spans="1:9" ht="48">
      <c r="A7" s="13" t="s">
        <v>901</v>
      </c>
      <c r="B7" s="14" t="s">
        <v>1498</v>
      </c>
      <c r="C7" s="14" t="s">
        <v>1517</v>
      </c>
      <c r="D7" s="14" t="str">
        <f ca="1">VLOOKUP($A7&amp;$B$1,'Export 3 Oct'!$B$6:$K$851,5, FALSE)</f>
        <v>Yes</v>
      </c>
      <c r="E7" s="12">
        <v>10</v>
      </c>
      <c r="F7" s="12"/>
      <c r="G7" s="12" t="str">
        <f ca="1">VLOOKUP($A7&amp;$B$1,'Export 3 Oct'!$B$6:$K$851,6, FALSE)</f>
        <v>https://wikirate.org/~22219074</v>
      </c>
      <c r="H7" s="14" t="str">
        <f ca="1">VLOOKUP($A7&amp;$B$1,'Export 3 Oct'!$B$6:$K$851,10, FALSE)</f>
        <v>https://www.boehringer-ingelheim.com/annualreport/2024/ Yohann[https://wikirate.org/Yohann].....2025-08-15 10:43:23 UTC Archive of annual reports Aureliane[https://wikirate.org/Aureliane].....2025-08-27 12:37:24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https://wikirate.org/~21508205</v>
      </c>
      <c r="H8" s="14" t="str">
        <f ca="1">VLOOKUP($A8&amp;$B$1,'Export 3 Oct'!$B$6:$K$851,10, FALSE)</f>
        <v>Checked for links for Code of Conduct and Human Rights Policy Aureliane[https://wikirate.org/Aureliane].....2025-08-27 12:38:34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https://wikirate.org/~22219108</v>
      </c>
      <c r="H9" s="14" t="str">
        <f ca="1">VLOOKUP($A9&amp;$B$1,'Export 3 Oct'!$B$6:$K$851,10, FALSE)</f>
        <v>https://www.boehringer-ingelheim.com/about-us/ethics-and-compliance Yohann[https://wikirate.org/Yohann].....2025-08-15 10:51:42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https://wikirate.org/~21508205</v>
      </c>
      <c r="H10" s="14"/>
      <c r="I10" s="12"/>
    </row>
    <row r="11" spans="1:9" ht="32">
      <c r="A11" s="13" t="s">
        <v>412</v>
      </c>
      <c r="B11" s="14" t="s">
        <v>1502</v>
      </c>
      <c r="C11" s="14" t="s">
        <v>1517</v>
      </c>
      <c r="D11" s="14" t="str">
        <f ca="1">VLOOKUP($A11&amp;$B$1,'Export 3 Oct'!$B$6:$K$851,5, FALSE)</f>
        <v>No</v>
      </c>
      <c r="E11" s="12">
        <v>0</v>
      </c>
      <c r="F11" s="12"/>
      <c r="G11" s="12" t="str">
        <f ca="1">VLOOKUP($A11&amp;$B$1,'Export 3 Oct'!$B$6:$K$851,6, FALSE)</f>
        <v>https://wikirate.org/~21508205</v>
      </c>
      <c r="H11" s="14"/>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https://wikirate.org/~21508205</v>
      </c>
      <c r="H12" s="14"/>
      <c r="I12" s="12"/>
    </row>
    <row r="13" spans="1:9" ht="208">
      <c r="A13" s="13" t="s">
        <v>1044</v>
      </c>
      <c r="B13" s="14" t="s">
        <v>1504</v>
      </c>
      <c r="C13" s="14" t="s">
        <v>1520</v>
      </c>
      <c r="D13" s="14" t="str">
        <f ca="1">VLOOKUP($A13&amp;$B$1,'Export 3 Oct'!$B$6:$K$851,5, FALSE)</f>
        <v>None</v>
      </c>
      <c r="E13" s="12">
        <v>0</v>
      </c>
      <c r="F13" s="12"/>
      <c r="G13" s="12" t="str">
        <f ca="1">VLOOKUP($A13&amp;$B$1,'Export 3 Oct'!$B$6:$K$851,6, FALSE)</f>
        <v>https://wikirate.org/~21508205</v>
      </c>
      <c r="H13" s="14"/>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https://wikirate.org/~21508205</v>
      </c>
      <c r="H14" s="14"/>
      <c r="I14" s="12"/>
    </row>
    <row r="15" spans="1:9" ht="112">
      <c r="A15" s="13" t="s">
        <v>577</v>
      </c>
      <c r="B15" s="14" t="s">
        <v>1506</v>
      </c>
      <c r="C15" s="14" t="s">
        <v>1517</v>
      </c>
      <c r="D15" s="14" t="str">
        <f ca="1">VLOOKUP($A15&amp;$B$1,'Export 3 Oct'!$B$6:$K$851,5, FALSE)</f>
        <v>Yes</v>
      </c>
      <c r="E15" s="12">
        <v>10</v>
      </c>
      <c r="F15" s="12"/>
      <c r="G15" s="12" t="str">
        <f ca="1">VLOOKUP($A15&amp;$B$1,'Export 3 Oct'!$B$6:$K$851,6, FALSE)</f>
        <v>https://wikirate.org/~21508205</v>
      </c>
      <c r="H15" s="14" t="str">
        <f ca="1">VLOOKUP($A15&amp;$B$1,'Export 3 Oct'!$B$6:$K$851,10, FALSE)</f>
        <v>p. 44 copyright section can't copy paste Yohann[https://wikirate.org/Yohann].....2025-08-15 10:59:35 UTC p.44 Copyright¬© C.H. Boehringer Sohn AG &amp; Co. KG, 2025 All rights reserved, especially the right of reproduction (in whole or parts). No part of this Annual Report 2024 may be reproduced or transmitted in any form or by any means, electronic or photocopy, without permission in writing from C.H. Boehringer Sohn AG &amp; Co. KG. Figures from third parties used in the annual report are based on data available at the time the financial statements were drawn up Aureliane[https://wikirate.org/Aureliane].....2025-08-27 12:44:56 UTC</v>
      </c>
      <c r="I15" s="12"/>
    </row>
    <row r="16" spans="1:9" ht="48">
      <c r="A16" s="13" t="s">
        <v>1143</v>
      </c>
      <c r="B16" s="14" t="s">
        <v>1507</v>
      </c>
      <c r="C16" s="14" t="s">
        <v>1522</v>
      </c>
      <c r="D16" s="14" t="str">
        <f ca="1">VLOOKUP($A16&amp;$B$1,'Export 3 Oct'!$B$6:$K$851,5, FALSE)</f>
        <v>Closed license</v>
      </c>
      <c r="E16" s="12">
        <v>0</v>
      </c>
      <c r="F16" s="12"/>
      <c r="G16" s="12" t="str">
        <f ca="1">VLOOKUP($A16&amp;$B$1,'Export 3 Oct'!$B$6:$K$851,6, FALSE)</f>
        <v>https://wikirate.org/~21508205</v>
      </c>
      <c r="H16" s="14" t="str">
        <f ca="1">VLOOKUP($A16&amp;$B$1,'Export 3 Oct'!$B$6:$K$851,10, FALSE)</f>
        <v>p. 44 under Copyright Yohann[https://wikirate.org/Yohann].....2025-08-15 11:00:04 UTC</v>
      </c>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https://wikirate.org/~21508205</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https://wikirate.org/~21508205</v>
      </c>
      <c r="H19" s="14"/>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https://wikirate.org/~21508205</v>
      </c>
      <c r="H20" s="14"/>
      <c r="I20" s="12"/>
    </row>
    <row r="21" spans="1:9">
      <c r="A21" s="13" t="s">
        <v>13</v>
      </c>
      <c r="B21" s="14" t="s">
        <v>1511</v>
      </c>
      <c r="C21" s="12" t="s">
        <v>1523</v>
      </c>
      <c r="D21" s="14" t="str">
        <f ca="1">VLOOKUP($A21&amp;$B$1,'Export 3 Oct'!$B$6:$K$851,5, FALSE)</f>
        <v>No</v>
      </c>
      <c r="E21" s="12" t="s">
        <v>1515</v>
      </c>
      <c r="F21" s="12"/>
      <c r="G21" s="12" t="str">
        <f ca="1">VLOOKUP($A21&amp;$B$1,'Export 3 Oct'!$B$6:$K$851,6, FALSE)</f>
        <v>https://wikirate.org/~21508205</v>
      </c>
      <c r="H21" s="14"/>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2</v>
      </c>
    </row>
    <row r="30" spans="1:9">
      <c r="A30" s="38" t="s">
        <v>1633</v>
      </c>
      <c r="B30" s="40">
        <f>AVERAGE($E$15,$E$16)</f>
        <v>5</v>
      </c>
    </row>
  </sheetData>
  <pageMargins left="0.7" right="0.7" top="0.75" bottom="0.75" header="0.3" footer="0.3"/>
  <pageSetup paperSize="9" orientation="portrait" horizontalDpi="0" verticalDpi="0"/>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4E318-43B8-1644-A6AB-3B2188C69E83}">
  <sheetPr codeName="Sheet11"/>
  <dimension ref="A1:I30"/>
  <sheetViews>
    <sheetView topLeftCell="A19"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Continental AG</v>
      </c>
    </row>
    <row r="2" spans="1:9" ht="23">
      <c r="A2" s="8" t="s">
        <v>1616</v>
      </c>
      <c r="B2" s="18">
        <f>SUM(E5:E16)/12</f>
        <v>4.5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https://wikirate.org/~22197642</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https://wikirate.org/~22197642</v>
      </c>
      <c r="H6" s="14" t="str">
        <f ca="1">VLOOKUP($A6&amp;$B$1,'Export 3 Oct'!$B$6:$K$851,10, FALSE)</f>
        <v>There is a shorter version of their report on their website, but because it does not include the full annual report content I did not select the Web HTML page answer option. Laureen van Breen[https://wikirate.org/Laureen_van_Breen].....2025-08-05 11:48:00 UTC</v>
      </c>
      <c r="I6" s="12"/>
    </row>
    <row r="7" spans="1:9" ht="32">
      <c r="A7" s="13" t="s">
        <v>901</v>
      </c>
      <c r="B7" s="14" t="s">
        <v>1498</v>
      </c>
      <c r="C7" s="14" t="s">
        <v>1517</v>
      </c>
      <c r="D7" s="14" t="str">
        <f ca="1">VLOOKUP($A7&amp;$B$1,'Export 3 Oct'!$B$6:$K$851,5, FALSE)</f>
        <v>Yes</v>
      </c>
      <c r="E7" s="12">
        <v>10</v>
      </c>
      <c r="F7" s="12"/>
      <c r="G7" s="12" t="str">
        <f ca="1">VLOOKUP($A7&amp;$B$1,'Export 3 Oct'!$B$6:$K$851,6, FALSE)</f>
        <v>https://wikirate.org/~22205628</v>
      </c>
      <c r="H7" s="14"/>
      <c r="I7" s="12"/>
    </row>
    <row r="8" spans="1:9" ht="112">
      <c r="A8" s="13" t="s">
        <v>629</v>
      </c>
      <c r="B8" s="14" t="s">
        <v>1499</v>
      </c>
      <c r="C8" s="14" t="s">
        <v>1517</v>
      </c>
      <c r="D8" s="14" t="str">
        <f ca="1">VLOOKUP($A8&amp;$B$1,'Export 3 Oct'!$B$6:$K$851,5, FALSE)</f>
        <v>No</v>
      </c>
      <c r="E8" s="12">
        <v>0</v>
      </c>
      <c r="F8" s="12"/>
      <c r="G8" s="12" t="str">
        <f ca="1">VLOOKUP($A8&amp;$B$1,'Export 3 Oct'!$B$6:$K$851,6, FALSE)</f>
        <v>https://wikirate.org/~21495948</v>
      </c>
      <c r="H8" s="14" t="str">
        <f ca="1">VLOOKUP($A8&amp;$B$1,'Export 3 Oct'!$B$6:$K$851,10, FALSE)</f>
        <v>p16 in the report (p19 in the PDF reader) specifies links to: Code of Conduct for all Continental Employees - no further links in the document. However, code of conduct is also linked on its Sustainability Archive/Landing page Thomas Howie[https://wikirate.org/Thomas_Howie].....2025-08-06 14:07:05 UTC Changed to no as other mentioned polices such as the EHS policy (environmental, health &amp; safety) and Continental‚Äôs purchasing policy for sustainable natural rubber were not linked. Marc McGowan[https://wikirate.org/Marc_McGowan].....2025-08-26 15:03:21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https://wikirate.org/~22205628</v>
      </c>
      <c r="H9" s="14" t="str">
        <f ca="1">VLOOKUP($A9&amp;$B$1,'Export 3 Oct'!$B$6:$K$851,10, FALSE)</f>
        <v>Drop down menus only present current versions - no previous/older versions seem to be available Thomas Howie[https://wikirate.org/Thomas_Howie].....2025-08-06 14:34:00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https://wikirate.org/~21495948</v>
      </c>
      <c r="H10" s="14" t="str">
        <f ca="1">VLOOKUP($A10&amp;$B$1,'Export 3 Oct'!$B$6:$K$851,10, FALSE)</f>
        <v>An ID might be there, but none of the answers were present Thomas Howie[https://wikirate.org/Thomas_Howie].....2025-08-06 14:44:13 UTC</v>
      </c>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https://wikirate.org/~21495948</v>
      </c>
      <c r="H11" s="14" t="str">
        <f ca="1">VLOOKUP($A11&amp;$B$1,'Export 3 Oct'!$B$6:$K$851,10, FALSE)</f>
        <v>P95 report number (p98 pdf viewer number). "This sustainability report also contains the combined non-financial statement in accordance with Sections 289b to 289e and 315b to 315c of the German Commercial Code (Handelsgesetzbuch ‚Äì HGB) for the Continental Group and Continental AG, for fiscal 2024." Thomas Howie[https://wikirate.org/Thomas_Howie].....2025-08-06 14:49:18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https://wikirate.org/~21495948</v>
      </c>
      <c r="H12" s="14" t="str">
        <f ca="1">VLOOKUP($A12&amp;$B$1,'Export 3 Oct'!$B$6:$K$851,10, FALSE)</f>
        <v>They misalign by three pages Thomas Howie[https://wikirate.org/Thomas_Howie].....2025-08-06 14:50:35 UTC</v>
      </c>
      <c r="I12" s="12"/>
    </row>
    <row r="13" spans="1:9" ht="208">
      <c r="A13" s="13" t="s">
        <v>1044</v>
      </c>
      <c r="B13" s="14" t="s">
        <v>1504</v>
      </c>
      <c r="C13" s="14" t="s">
        <v>1520</v>
      </c>
      <c r="D13" s="14" t="str">
        <f ca="1">VLOOKUP($A13&amp;$B$1,'Export 3 Oct'!$B$6:$K$851,5, FALSE)</f>
        <v>CSRD (ESRS), Greenhouse Gas Protocol, National standards, Other</v>
      </c>
      <c r="E13" s="12">
        <v>10</v>
      </c>
      <c r="F13" s="12"/>
      <c r="G13" s="12" t="str">
        <f ca="1">VLOOKUP($A13&amp;$B$1,'Export 3 Oct'!$B$6:$K$851,6, FALSE)</f>
        <v>https://wikirate.org/~21495948</v>
      </c>
      <c r="H13" s="14" t="str">
        <f ca="1">VLOOKUP($A13&amp;$B$1,'Export 3 Oct'!$B$6:$K$851,10, FALSE)</f>
        <v>ISSB (IFRS), p14 (p17 pdf viewer) "The 2024 consolidated financial statements of Continental AG were prepared in accordance with the International Financial Reporting Standards (IFRS)." CSRD (ESRS) ISSB (IFRS), p95 (p98 pdf viewer) "Due to the legal uncertainties arising from the lack of implementation of the CSRD into German law at the time of reporting, the Executive Board of Continental AG, in coordination with the Supervisory Board, has decided to fully apply, for the first time, the ESRS resulting from the CSRD as a framework in accordance with Section 315c (3) in conjunction with Section 289d HGB for preparing the combined non-financial statement in accordance with Sections 315b and 315c in conjunction with Sections 289b to 289e HGB." Other standards, p151 (p154 pdf viewer): "The environmental, occupational health &amp; safety management systems are based on the international standards ISO 14001 and ISO 45001, which are also standards for the management of hazardous substances." Other standards, p191 (p1...</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https://wikirate.org/~21495948</v>
      </c>
      <c r="H14" s="14" t="str">
        <f ca="1">VLOOKUP($A14&amp;$B$1,'Export 3 Oct'!$B$6:$K$851,10, FALSE)</f>
        <v>P211 (p214 pdf viewer) Thomas Howie[https://wikirate.org/Thomas_Howie].....2025-08-06 15:10:17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https://wikirate.org/~21495948</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https://wikirate.org/~21495948</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Yes</v>
      </c>
      <c r="E18" s="12" t="s">
        <v>1515</v>
      </c>
      <c r="F18" s="12"/>
      <c r="G18" s="12" t="str">
        <f ca="1">VLOOKUP($A18&amp;$B$1,'Export 3 Oct'!$B$6:$K$851,6, FALSE)</f>
        <v>https://wikirate.org/~21495948</v>
      </c>
      <c r="H18" s="14" t="str">
        <f ca="1">VLOOKUP($A18&amp;$B$1,'Export 3 Oct'!$B$6:$K$851,10, FALSE)</f>
        <v>P99 (p102 pdf reader) "Description of methodology and assumptions Continental assesses its impacts, risks and opportunities according to the ESRS methodology requirements on double materiality (IRO assessment). Continental‚Äôs 2024 IRO assessment has been conducted simultaneously with both impact materiality (inside-out) and financial materiality (outside-in) perspectives" Thomas Howie[https://wikirate.org/Thomas_Howie].....2025-08-06 15:18:48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https://wikirate.org/~21495948</v>
      </c>
      <c r="H19" s="14"/>
      <c r="I19" s="12"/>
    </row>
    <row r="20" spans="1:9" ht="64">
      <c r="A20" s="13" t="s">
        <v>814</v>
      </c>
      <c r="B20" s="14" t="s">
        <v>1510</v>
      </c>
      <c r="C20" s="14" t="s">
        <v>1524</v>
      </c>
      <c r="D20" s="14" t="str">
        <f ca="1">VLOOKUP($A20&amp;$B$1,'Export 3 Oct'!$B$6:$K$851,5, FALSE)</f>
        <v>Limited assurance</v>
      </c>
      <c r="E20" s="12" t="s">
        <v>1515</v>
      </c>
      <c r="F20" s="12"/>
      <c r="G20" s="12" t="str">
        <f ca="1">VLOOKUP($A20&amp;$B$1,'Export 3 Oct'!$B$6:$K$851,6, FALSE)</f>
        <v>https://wikirate.org/~21495948</v>
      </c>
      <c r="H20" s="14" t="str">
        <f ca="1">VLOOKUP($A20&amp;$B$1,'Export 3 Oct'!$B$6:$K$851,10, FALSE)</f>
        <v>p14 (pdf viewer p17) "The auditor reported on the main results of the audits of financial and sustainability reporting (the latter with limited audit assurance) and was available to provide additional information to the Audit Committee and the Supervisory Board" Thomas Howie[https://wikirate.org/Thomas_Howie].....2025-08-06 15:25:15 UTC</v>
      </c>
      <c r="I20" s="12"/>
    </row>
    <row r="21" spans="1:9" ht="128">
      <c r="A21" s="13" t="s">
        <v>13</v>
      </c>
      <c r="B21" s="14" t="s">
        <v>1511</v>
      </c>
      <c r="C21" s="12" t="s">
        <v>1523</v>
      </c>
      <c r="D21" s="14" t="str">
        <f ca="1">VLOOKUP($A21&amp;$B$1,'Export 3 Oct'!$B$6:$K$851,5, FALSE)</f>
        <v>Yes</v>
      </c>
      <c r="E21" s="12" t="s">
        <v>1515</v>
      </c>
      <c r="F21" s="12"/>
      <c r="G21" s="12" t="str">
        <f ca="1">VLOOKUP($A21&amp;$B$1,'Export 3 Oct'!$B$6:$K$851,6, FALSE)</f>
        <v>https://wikirate.org/~21495948</v>
      </c>
      <c r="H21" s="14" t="str">
        <f ca="1">VLOOKUP($A21&amp;$B$1,'Export 3 Oct'!$B$6:$K$851,10, FALSE)</f>
        <v>P149: "The operational tasks include specific preventive and remedial measures regarding the supply chain, e.g. alignment of procurement strategies and practices, definition of contractual agreements and implementation of control mechanisms as well as training of purchasers and suppliers. Selected suppliers are assessed on the basis of various criteria using self-assessment questionnaires obtained via the generally accepted sustainability platforms for our industries, such as EcoVadis and NQC. In addition, selective on-site audits or other audit activities are also carried out, for example in relation to the existence of environmental management systems." Marc McGowan[https://wikirate.org/Marc_McGowan].....2025-08-27 08:02:04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5</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3206-9077-0546-B577-6072EA952C44}">
  <sheetPr codeName="Sheet12"/>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Covestro</v>
      </c>
    </row>
    <row r="2" spans="1:9" ht="23">
      <c r="A2" s="8" t="s">
        <v>1616</v>
      </c>
      <c r="B2" s="18">
        <f>SUM(E5:E16)/12</f>
        <v>3.25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https://wikirate.org/~22210995</v>
      </c>
      <c r="H5" s="14" t="str">
        <f ca="1">VLOOKUP($A5&amp;$B$1,'Export 3 Oct'!$B$6:$K$851,10, FALSE)</f>
        <v>also on: https://www.annualreports.com/Company/covestro-ag Aureliane[https://wikirate.org/Aureliane].....2025-08-29 13:02:29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https://wikirate.org/~21506686</v>
      </c>
      <c r="H6" s="14"/>
      <c r="I6" s="12"/>
    </row>
    <row r="7" spans="1:9" ht="64">
      <c r="A7" s="13" t="s">
        <v>901</v>
      </c>
      <c r="B7" s="14" t="s">
        <v>1498</v>
      </c>
      <c r="C7" s="14" t="s">
        <v>1517</v>
      </c>
      <c r="D7" s="14" t="str">
        <f ca="1">VLOOKUP($A7&amp;$B$1,'Export 3 Oct'!$B$6:$K$851,5, FALSE)</f>
        <v>No</v>
      </c>
      <c r="E7" s="12">
        <v>0</v>
      </c>
      <c r="F7" s="12"/>
      <c r="G7" s="12" t="str">
        <f ca="1">VLOOKUP($A7&amp;$B$1,'Export 3 Oct'!$B$6:$K$851,6, FALSE)</f>
        <v>https://wikirate.org/~22210995</v>
      </c>
      <c r="H7" s="14" t="str">
        <f ca="1">VLOOKUP($A7&amp;$B$1,'Export 3 Oct'!$B$6:$K$851,10, FALSE)</f>
        <v>They don't list all reports on a single webpage that I could find. I could find previous years by using a web search. Here are two examples of annual reports i found https://report.covestro.com/annual-report-2023/services/downloads.html https://report.covestro.com/annual-report-2022/ Thomas Howie[https://wikirate.org/Thomas_Howie].....2025-08-13 12:45:25 UTC</v>
      </c>
      <c r="I7" s="12"/>
    </row>
    <row r="8" spans="1:9" ht="176">
      <c r="A8" s="13" t="s">
        <v>629</v>
      </c>
      <c r="B8" s="14" t="s">
        <v>1499</v>
      </c>
      <c r="C8" s="14" t="s">
        <v>1517</v>
      </c>
      <c r="D8" s="14" t="str">
        <f ca="1">VLOOKUP($A8&amp;$B$1,'Export 3 Oct'!$B$6:$K$851,5, FALSE)</f>
        <v>No</v>
      </c>
      <c r="E8" s="12">
        <v>0</v>
      </c>
      <c r="F8" s="12"/>
      <c r="G8" s="12" t="str">
        <f ca="1">VLOOKUP($A8&amp;$B$1,'Export 3 Oct'!$B$6:$K$851,6, FALSE)</f>
        <v>https://wikirate.org/~21506686</v>
      </c>
      <c r="H8" s="14" t="str">
        <f ca="1">VLOOKUP($A8&amp;$B$1,'Export 3 Oct'!$B$6:$K$851,10, FALSE)</f>
        <v>p229 and 300 (p110 and 111 in PDF viewer) gives links to all mentioned codes of conducts and policies Thomas Howie[https://wikirate.org/Thomas_Howie].....2025-08-13 12:50:29 UTC Although they do link to a policies page, the only policy of their own is a supplier code of conduct Thomas Howie[https://wikirate.org/Thomas_Howie].....2025-08-13 12:56:05 UTC It's a hard one to judge, they are signed up toseveral commitments and standards but they don't seem to have any own policies Thomas Howie[https://wikirate.org/Thomas_Howie].....2025-08-13 12:58:57 UTC p. 221: I found a link to their supplier Code of Conduct. But there is no link to their Human Rights Policy or Code of Conduct. Aureliane[https://wikirate.org/Aureliane].....2025-08-29 13:13:56 UTC There are a few links (e.g. p. 110 and 111) but these lead to landing pages from where a code of conduct and other documents can be downloaded. The links are therefore not specific enough for traceability and machine readability purposed. Laureen van Breen[https://w...</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https://wikirate.org/~22211027</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https://wikirate.org/~21506686</v>
      </c>
      <c r="H10" s="14"/>
      <c r="I10" s="12"/>
    </row>
    <row r="11" spans="1:9" ht="176">
      <c r="A11" s="13" t="s">
        <v>412</v>
      </c>
      <c r="B11" s="14" t="s">
        <v>1502</v>
      </c>
      <c r="C11" s="14" t="s">
        <v>1517</v>
      </c>
      <c r="D11" s="14" t="str">
        <f ca="1">VLOOKUP($A11&amp;$B$1,'Export 3 Oct'!$B$6:$K$851,5, FALSE)</f>
        <v>Yes</v>
      </c>
      <c r="E11" s="12">
        <v>10</v>
      </c>
      <c r="F11" s="12"/>
      <c r="G11" s="12" t="str">
        <f ca="1">VLOOKUP($A11&amp;$B$1,'Export 3 Oct'!$B$6:$K$851,6, FALSE)</f>
        <v>https://wikirate.org/~21506686</v>
      </c>
      <c r="H11" s="14" t="str">
        <f ca="1">VLOOKUP($A11&amp;$B$1,'Export 3 Oct'!$B$6:$K$851,10, FALSE)</f>
        <v>Every page is title "Annual rpeort 2024" Thomas Howie[https://wikirate.org/Thomas_Howie].....2025-08-13 13:09:09 UTC p.346: We have audited the consolidated financial statements of Covestro AG, Leverkusen, and its subsidiaries (the Group), which comprise the income statement, the statement of comprehensive income of the Covestro Group for the financial year from January 1 to December 31, 2024, the statement of financial position of the Covestro Group as of December 31, 2024, the statement of cash flows and the statement of changes in equity of the Covestro Group for the financial year from January 1 to December 31, 2024, and notes to the consolidated financial statements, including significant information on the accounting policies. In addition, we have audited the management report of the Company and the Group (hereinafter the "combined management report") of Covestro AG for the financial year from January 1 to December 31, 2024. Aureliane[https://wikirate.org/Aureliane].....2025-08-29 13:32:49 UTC</v>
      </c>
      <c r="I11" s="12"/>
    </row>
    <row r="12" spans="1:9" ht="112">
      <c r="A12" s="13" t="s">
        <v>987</v>
      </c>
      <c r="B12" s="14" t="s">
        <v>1503</v>
      </c>
      <c r="C12" s="14" t="s">
        <v>1517</v>
      </c>
      <c r="D12" s="14" t="str">
        <f ca="1">VLOOKUP($A12&amp;$B$1,'Export 3 Oct'!$B$6:$K$851,5, FALSE)</f>
        <v>No</v>
      </c>
      <c r="E12" s="12">
        <v>0</v>
      </c>
      <c r="F12" s="12"/>
      <c r="G12" s="12" t="str">
        <f ca="1">VLOOKUP($A12&amp;$B$1,'Export 3 Oct'!$B$6:$K$851,6, FALSE)</f>
        <v>https://wikirate.org/~21506686</v>
      </c>
      <c r="H12" s="14" t="str">
        <f ca="1">VLOOKUP($A12&amp;$B$1,'Export 3 Oct'!$B$6:$K$851,10, FALSE)</f>
        <v>I didn't manage to add the original (uncut) annual report (error with uploading sources). I suspect the misalignment might have something to do with the fact that the report used here was taken from the original report which is much longer. Aureliane[https://wikirate.org/Aureliane].....2025-08-29 13:37:25 UTC While indeed the page numbering is aligned for the full annual report, it is not for this standalone file. So for the sake of machine readability, page numbering would have to be updated if a separate file is created (even if its conceptually a subsection of a larger report) Laureen van Breen[https://wikirate.org/Laureen_van_Breen].....2025-09-22 08:06:58 UTC</v>
      </c>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https://wikirate.org/~21506686</v>
      </c>
      <c r="H13" s="14" t="str">
        <f ca="1">VLOOKUP($A13&amp;$B$1,'Export 3 Oct'!$B$6:$K$851,10, FALSE)</f>
        <v>p120 (p1 PDF viewer) "Our sustainability reporting for the year 2024 was prepared for the first time in full application of the European Sustainability Reporting Standards (ESRS)." Thomas Howie[https://wikirate.org/Thomas_Howie].....2025-08-13 13:13:06 UTC There is a mention of the GHG Protocol, as a tool to assess and analyze CO2 emissions. p. 158: At Covestro, upstream and downstream GHG emissions data along the value chain (Scope 3 emissions) is determined for all sites and business activities that indirectly cause relevant GHG emissions according to the categories and methods of the GHG Protocol and the Guidance for Accounting &amp; Reporting Corporate GHG Emissions in the Chemical Sector Value Chain by the World Business Council for Sustainable Development (WBCSD) Aureliane[https://wikirate.org/Aureliane].....2025-08-29 13:43:12 UTC CDP is mentioned but the disclosures are made separately - although referenced in the report. p. 158: The individual calculations of the emissions for each Scope 3 category ar...</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https://wikirate.org/~21506686</v>
      </c>
      <c r="H14" s="14" t="str">
        <f ca="1">VLOOKUP($A14&amp;$B$1,'Export 3 Oct'!$B$6:$K$851,10, FALSE)</f>
        <v>P137 (p18 in PDF viewer) The Index states the "Section in the Group Sustainability Statement" the disclosure can be found, no page numbers are given Thomas Howie[https://wikirate.org/Thomas_Howie].....2025-08-13 13:19:13 UTC Index is not specific enough, it would need to have page numbers. Laureen van Breen[https://wikirate.org/Laureen_van_Breen].....2025-09-22 08:12:43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https://wikirate.org/~21506686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https://wikirate.org/~21506686</v>
      </c>
      <c r="H16" s="14"/>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https://wikirate.org/~21506686</v>
      </c>
      <c r="H18" s="14" t="str">
        <f ca="1">VLOOKUP($A18&amp;$B$1,'Export 3 Oct'!$B$6:$K$851,10, FALSE)</f>
        <v>p120 (p1 in PDF viewer) "In addition to our own business activities, our sustainability reporting also covers upstream and downstream value chains, if material impacts, risks, and opportunities in this regard were identified during the double materiality assessment." Thomas Howie[https://wikirate.org/Thomas_Howie].....2025-08-13 13:22:19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https://wikirate.org/~21506686</v>
      </c>
      <c r="H19" s="14"/>
      <c r="I19" s="12"/>
    </row>
    <row r="20" spans="1:9" ht="96">
      <c r="A20" s="13" t="s">
        <v>814</v>
      </c>
      <c r="B20" s="14" t="s">
        <v>1510</v>
      </c>
      <c r="C20" s="14" t="s">
        <v>1524</v>
      </c>
      <c r="D20" s="14" t="str">
        <f ca="1">VLOOKUP($A20&amp;$B$1,'Export 3 Oct'!$B$6:$K$851,5, FALSE)</f>
        <v>Limited assurance</v>
      </c>
      <c r="E20" s="12" t="s">
        <v>1515</v>
      </c>
      <c r="F20" s="12"/>
      <c r="G20" s="12" t="str">
        <f ca="1">VLOOKUP($A20&amp;$B$1,'Export 3 Oct'!$B$6:$K$851,6, FALSE)</f>
        <v>https://wikirate.org/~22247422</v>
      </c>
      <c r="H20" s="14" t="str">
        <f ca="1">VLOOKUP($A20&amp;$B$1,'Export 3 Oct'!$B$6:$K$851,10, FALSE)</f>
        <v>p354 We have conducted a limited assurance engagement on the Group Sustainability Statement, taking into account, as set forth in the subsequent paragraph, the reasonable assurance engagement on disclosures marked with a curly bracket ‚Äò{ }‚Äô in the Group Sustainability Statement included in section Group Sustainability Report of the combined management report, of Covestro AG for the financial year from January 1, 2024 to December 31, 2024. Thomas Howie[https://wikirate.org/Thomas_Howie].....2025-08-20 14:33:51 UTC</v>
      </c>
      <c r="I20" s="12"/>
    </row>
    <row r="21" spans="1:9" ht="144">
      <c r="A21" s="13" t="s">
        <v>13</v>
      </c>
      <c r="B21" s="14" t="s">
        <v>1511</v>
      </c>
      <c r="C21" s="12" t="s">
        <v>1523</v>
      </c>
      <c r="D21" s="14" t="str">
        <f ca="1">VLOOKUP($A21&amp;$B$1,'Export 3 Oct'!$B$6:$K$851,5, FALSE)</f>
        <v>Yes</v>
      </c>
      <c r="E21" s="12" t="s">
        <v>1515</v>
      </c>
      <c r="F21" s="12"/>
      <c r="G21" s="12" t="str">
        <f ca="1">VLOOKUP($A21&amp;$B$1,'Export 3 Oct'!$B$6:$K$851,6, FALSE)</f>
        <v>https://wikirate.org/~21506686</v>
      </c>
      <c r="H21" s="14" t="str">
        <f ca="1">VLOOKUP($A21&amp;$B$1,'Export 3 Oct'!$B$6:$K$851,10, FALSE)</f>
        <v>p129 (p10 in PDF viewer) "Together for Sustainability initiative and the associated audits, events, and workshops with suppliers on the subject of sustainability; continuous exchange via employees responsible for procurement, including Supplier Code of Conduct; reporting suspected or potential human rights abuses using our existing whistleblower tool " Thomas Howie[https://wikirate.org/Thomas_Howie].....2025-08-13 13:47:30 UTC p. 222: As a member of TfS, Covestro is responsible for monitoring and auditing the sustainability performance of its suppliers. TfS supports this effort by providing the supplier assessment infrastructure for online assessments and on-site audits of suppliers by third parties Aureliane[https://wikirate.org/Aureliane].....2025-08-29 13:55:47 UTC</v>
      </c>
      <c r="I21" s="12"/>
    </row>
    <row r="26" spans="1:9">
      <c r="A26" s="39" t="s">
        <v>1634</v>
      </c>
    </row>
    <row r="27" spans="1:9">
      <c r="A27" s="38" t="s">
        <v>1630</v>
      </c>
      <c r="B27" s="40">
        <f>AVERAGE($E$5,$E$6,$E$7)</f>
        <v>4.666666666666667</v>
      </c>
    </row>
    <row r="28" spans="1:9">
      <c r="A28" s="38" t="s">
        <v>1631</v>
      </c>
      <c r="B28" s="40">
        <f>AVERAGE($E$8,$E$9)</f>
        <v>2.5</v>
      </c>
    </row>
    <row r="29" spans="1:9">
      <c r="A29" s="38" t="s">
        <v>1632</v>
      </c>
      <c r="B29" s="40">
        <f>AVERAGE($E$10,$E$11,$E$12,$E$13,$E$14)</f>
        <v>4</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FCC9F-8152-EA43-90B2-58F5192B2E28}">
  <sheetPr codeName="Sheet13"/>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D√ºrr Group</v>
      </c>
    </row>
    <row r="2" spans="1:9" ht="23">
      <c r="A2" s="8" t="s">
        <v>1616</v>
      </c>
      <c r="B2" s="18">
        <f>SUM(E5:E16)/12</f>
        <v>4.916666666666667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https://wikirate.org/~22218585</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https://wikirate.org/~21496904</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https://wikirate.org/~22218585</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https://wikirate.org/~21496904</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https://wikirate.org/~22218585</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https://wikirate.org/~21496904</v>
      </c>
      <c r="H10" s="14" t="str">
        <f ca="1">VLOOKUP($A10&amp;$B$1,'Export 3 Oct'!$B$6:$K$851,10, FALSE)</f>
        <v>P. 18, mentions an ISIN identifier, however, it is not related to which entities are covered in their nonfinancial report: "Reflecting the absence of any upside impetus at the beginning of 2024, the D√ºrr share (ISIN: DE0005565204) initially hovered around the price of roughly ‚Ç¨21 at which it had entered the year. However, as the forecast for 2024 published at the end of February was in line with analysts‚Äô expectations, the share subsequently rose steadily." Lucia Ixtacuy[https://wikirate.org/Lucia_Ixtacuy].....2025-08-13 08:30:40 UTC</v>
      </c>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https://wikirate.org/~21496904</v>
      </c>
      <c r="H11" s="14" t="str">
        <f ca="1">VLOOKUP($A11&amp;$B$1,'Export 3 Oct'!$B$6:$K$851,10, FALSE)</f>
        <v>"The reporting periods of the Sustainability Statement and financial reporting are identical and correspond to the calendar year 2024" p. 100 Lucia Ixtacuy[https://wikirate.org/Lucia_Ixtacuy].....2025-08-13 08:23:08 UTC</v>
      </c>
      <c r="I11" s="12"/>
    </row>
    <row r="12" spans="1:9" ht="48">
      <c r="A12" s="13" t="s">
        <v>987</v>
      </c>
      <c r="B12" s="14" t="s">
        <v>1503</v>
      </c>
      <c r="C12" s="14" t="s">
        <v>1517</v>
      </c>
      <c r="D12" s="14" t="str">
        <f ca="1">VLOOKUP($A12&amp;$B$1,'Export 3 Oct'!$B$6:$K$851,5, FALSE)</f>
        <v>Yes</v>
      </c>
      <c r="E12" s="12">
        <v>10</v>
      </c>
      <c r="F12" s="12"/>
      <c r="G12" s="12" t="str">
        <f ca="1">VLOOKUP($A12&amp;$B$1,'Export 3 Oct'!$B$6:$K$851,6, FALSE)</f>
        <v>https://wikirate.org/~21496904</v>
      </c>
      <c r="H12" s="14" t="str">
        <f ca="1">VLOOKUP($A12&amp;$B$1,'Export 3 Oct'!$B$6:$K$851,10, FALSE)</f>
        <v>p. 100 "The reporting periods of the Sustainability Statement and financial reporting are identical and correspond to the calendar year 2024. " Lucia Ixtacuy[https://wikirate.org/Lucia_Ixtacuy].....2025-08-13 08:20:53 UTC</v>
      </c>
      <c r="I12" s="12"/>
    </row>
    <row r="13" spans="1:9" ht="208">
      <c r="A13" s="13" t="s">
        <v>1044</v>
      </c>
      <c r="B13" s="14" t="s">
        <v>1504</v>
      </c>
      <c r="C13" s="14" t="s">
        <v>1520</v>
      </c>
      <c r="D13" s="14" t="str">
        <f ca="1">VLOOKUP($A13&amp;$B$1,'Export 3 Oct'!$B$6:$K$851,5, FALSE)</f>
        <v>GRI Standards, SASB, CSRD (ESRS), Greenhouse Gas Protocol</v>
      </c>
      <c r="E13" s="12">
        <v>10</v>
      </c>
      <c r="F13" s="12"/>
      <c r="G13" s="12" t="str">
        <f ca="1">VLOOKUP($A13&amp;$B$1,'Export 3 Oct'!$B$6:$K$851,6, FALSE)</f>
        <v>https://wikirate.org/~21496904</v>
      </c>
      <c r="H13" s="14" t="str">
        <f ca="1">VLOOKUP($A13&amp;$B$1,'Export 3 Oct'!$B$6:$K$851,10, FALSE)</f>
        <v>p. 125 " All direct GHG emissions (Scope 1), indirect GHG emissions from purchased energy (Scope 2), and material indirect GHG emissions within the value chain (Scope 3) are reported in a Group-wide GHG balance sheet in accordance with the requirements of the Greenhouse Gas Protocol (GHG Protocol) ‚Üí page 336" p. 111 p. 216 "The presentation of the consolidated statement of profit or loss for the 2023 reporting period was retrospectively adjusted in accordance with IFRS 5 ‚ÄúNon-current assets held for sale and discontinued operations‚Äù. " Lucia Ixtacuy[https://wikirate.org/Lucia_Ixtacuy].....2025-08-14 14:37:18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https://wikirate.org/~21496904</v>
      </c>
      <c r="H14" s="14" t="str">
        <f ca="1">VLOOKUP($A14&amp;$B$1,'Export 3 Oct'!$B$6:$K$851,10, FALSE)</f>
        <v>P. 101, 106, 111... Lucia Ixtacuy[https://wikirate.org/Lucia_Ixtacuy].....2025-08-13 08:35:30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https://wikirate.org/~21496904</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https://wikirate.org/~21496904</v>
      </c>
      <c r="H16" s="14"/>
      <c r="I16" s="12"/>
    </row>
    <row r="17" spans="1:9">
      <c r="A17" s="15" t="s">
        <v>1512</v>
      </c>
      <c r="B17" s="16"/>
      <c r="C17" s="17"/>
      <c r="D17" s="16"/>
      <c r="E17" s="17"/>
      <c r="F17" s="17"/>
      <c r="G17" s="17"/>
      <c r="H17" s="16"/>
      <c r="I17" s="12"/>
    </row>
    <row r="18" spans="1:9" ht="128">
      <c r="A18" s="13" t="s">
        <v>1195</v>
      </c>
      <c r="B18" s="14" t="s">
        <v>1508</v>
      </c>
      <c r="C18" s="12" t="s">
        <v>1523</v>
      </c>
      <c r="D18" s="14" t="str">
        <f ca="1">VLOOKUP($A18&amp;$B$1,'Export 3 Oct'!$B$6:$K$851,5, FALSE)</f>
        <v>Yes</v>
      </c>
      <c r="E18" s="12" t="s">
        <v>1515</v>
      </c>
      <c r="F18" s="12"/>
      <c r="G18" s="12" t="str">
        <f ca="1">VLOOKUP($A18&amp;$B$1,'Export 3 Oct'!$B$6:$K$851,6, FALSE)</f>
        <v>https://wikirate.org/~21496904</v>
      </c>
      <c r="H18" s="14" t="str">
        <f ca="1">VLOOKUP($A18&amp;$B$1,'Export 3 Oct'!$B$6:$K$851,10, FALSE)</f>
        <v>p. 110-122 Lucia Ixtacuy[https://wikirate.org/Lucia_Ixtacuy].....2025-08-13 08:39:37 UTC p. 110 "In 2024, we fundamentally revised the process and methodology of the materiality analysis compared to previous analyses. This was done with a view to the requirements of the double materiality analysis as set out in the ESRS. Firstly, the review included the assessment of the topic-related ESRS, including their topics, subtopics and subsubtopics as well as additional company-specific disclosures relating to their impact on people and the environment. Secondly, financial risks and opportunities for our company were updated or newly recorded." Aureliane[https://wikirate.org/Aureliane].....2025-08-29 12:54:01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https://wikirate.org/~21496904</v>
      </c>
      <c r="H19" s="14" t="str">
        <f ca="1">VLOOKUP($A19&amp;$B$1,'Export 3 Oct'!$B$6:$K$851,10, FALSE)</f>
        <v>Not disclosed Lucia Ixtacuy[https://wikirate.org/Lucia_Ixtacuy].....2025-08-13 08:42:23 UTC</v>
      </c>
      <c r="I19" s="12"/>
    </row>
    <row r="20" spans="1:9" ht="96">
      <c r="A20" s="13" t="s">
        <v>814</v>
      </c>
      <c r="B20" s="14" t="s">
        <v>1510</v>
      </c>
      <c r="C20" s="14" t="s">
        <v>1524</v>
      </c>
      <c r="D20" s="14" t="str">
        <f ca="1">VLOOKUP($A20&amp;$B$1,'Export 3 Oct'!$B$6:$K$851,5, FALSE)</f>
        <v>Limited assurance</v>
      </c>
      <c r="E20" s="12" t="s">
        <v>1515</v>
      </c>
      <c r="F20" s="12"/>
      <c r="G20" s="12" t="str">
        <f ca="1">VLOOKUP($A20&amp;$B$1,'Export 3 Oct'!$B$6:$K$851,6, FALSE)</f>
        <v>https://wikirate.org/~21496904</v>
      </c>
      <c r="H20" s="14" t="str">
        <f ca="1">VLOOKUP($A20&amp;$B$1,'Export 3 Oct'!$B$6:$K$851,10, FALSE)</f>
        <v>p. 331 "To D√ºrr Aktiengesellschaft, Stuttgart/Germany ASSURANCE CONCLUSION We have conducted a limited assurance engagement on the consolidated sustainability statement of D√ºrr Aktiengesellschaft, Stuttgart/Germany, included in the reporting segment 7 Sustainability Statement of the combined management report on the parent and the group (hereinafter referred to as Sustainability Statement‚Äù) for the financial year from January 1 to December 31, 2024. " Lucia Ixtacuy[https://wikirate.org/Lucia_Ixtacuy].....2025-08-14 14:08:54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https://wikirate.org/~21496904</v>
      </c>
      <c r="H21" s="14" t="str">
        <f ca="1">VLOOKUP($A21&amp;$B$1,'Export 3 Oct'!$B$6:$K$851,10, FALSE)</f>
        <v>p 174 "This assessment is based on analyses of our business operations, insights from supplier audits, as well as on-site inspections and safety audits on construction sites. " Lucia Ixtacuy[https://wikirate.org/Lucia_Ixtacuy].....2025-08-14 14:14:02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88510-DDF9-0046-B428-332CA9B8D41D}">
  <sheetPr codeName="Sheet14"/>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Daimler Truck AG</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https://wikirate.org/~21476177</v>
      </c>
      <c r="H5" s="14" t="str">
        <f ca="1">VLOOKUP($A5&amp;$B$1,'Export 3 Oct'!$B$6:$K$851,10, FALSE)</f>
        <v>Also found on: https://insights.efrag.org/ Aureliane[https://wikirate.org/Aureliane].....2025-08-26 11:07:27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https://wikirate.org/~21476177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https://wikirate.org/~22210602</v>
      </c>
      <c r="H7" s="14" t="str">
        <f ca="1">VLOOKUP($A7&amp;$B$1,'Export 3 Oct'!$B$6:$K$851,10, FALSE)</f>
        <v>https://www.daimlertruck.com/en/sustainability/reportings Yohann[https://wikirate.org/Yohann].....2025-08-13 09:44:03 UTC</v>
      </c>
      <c r="I7" s="12"/>
    </row>
    <row r="8" spans="1:9" ht="32">
      <c r="A8" s="13" t="s">
        <v>629</v>
      </c>
      <c r="B8" s="14" t="s">
        <v>1499</v>
      </c>
      <c r="C8" s="14" t="s">
        <v>1517</v>
      </c>
      <c r="D8" s="14" t="str">
        <f ca="1">VLOOKUP($A8&amp;$B$1,'Export 3 Oct'!$B$6:$K$851,5, FALSE)</f>
        <v>Yes</v>
      </c>
      <c r="E8" s="12">
        <v>10</v>
      </c>
      <c r="F8" s="12"/>
      <c r="G8" s="12" t="str">
        <f ca="1">VLOOKUP($A8&amp;$B$1,'Export 3 Oct'!$B$6:$K$851,6, FALSE)</f>
        <v>https://wikirate.org/~21476177</v>
      </c>
      <c r="H8" s="14" t="str">
        <f ca="1">VLOOKUP($A8&amp;$B$1,'Export 3 Oct'!$B$6:$K$851,10, FALSE)</f>
        <v>p. 8 indicates there are links and ex p. 70 Yohann[https://wikirate.org/Yohann].....2025-08-13 09:48:57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https://wikirate.org/~21476177</v>
      </c>
      <c r="H9" s="14" t="str">
        <f ca="1">VLOOKUP($A9&amp;$B$1,'Export 3 Oct'!$B$6:$K$851,10, FALSE)</f>
        <v>I could not find an archive for the Code of Conduct, Human Rights Policy, etc. Aureliane[https://wikirate.org/Aureliane].....2025-08-26 11:20:45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https://wikirate.org/~21476177</v>
      </c>
      <c r="H10" s="14"/>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https://wikirate.org/~21476177</v>
      </c>
      <c r="H11" s="14" t="str">
        <f ca="1">VLOOKUP($A11&amp;$B$1,'Export 3 Oct'!$B$6:$K$851,10, FALSE)</f>
        <v>"We have conducted a limited assurance engagement on the Group Sustainability Statement, included in section ‚ÄúSustainability at Daimler Truck‚Äù of the group management report, of Daimler Truck Holding AG, Stuttgart for the financial year from January 1 to December 31, 2024." p. 301 Yohann[https://wikirate.org/Yohann].....2025-08-13 09:56:22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https://wikirate.org/~21476177</v>
      </c>
      <c r="H12" s="14" t="str">
        <f ca="1">VLOOKUP($A12&amp;$B$1,'Export 3 Oct'!$B$6:$K$851,10, FALSE)</f>
        <v>have a look p. 2 it's indicated at the top, so there is no mismatch. Yohann[https://wikirate.org/Yohann].....2025-08-13 09:58:16 UTC</v>
      </c>
      <c r="I12" s="12"/>
    </row>
    <row r="13" spans="1:9" ht="208">
      <c r="A13" s="13" t="s">
        <v>1044</v>
      </c>
      <c r="B13" s="14" t="s">
        <v>1504</v>
      </c>
      <c r="C13" s="14" t="s">
        <v>1520</v>
      </c>
      <c r="D13" s="14" t="str">
        <f ca="1">VLOOKUP($A13&amp;$B$1,'Export 3 Oct'!$B$6:$K$851,5, FALSE)</f>
        <v>CSRD (ESRS), CDP</v>
      </c>
      <c r="E13" s="12">
        <v>10</v>
      </c>
      <c r="F13" s="12"/>
      <c r="G13" s="12" t="str">
        <f ca="1">VLOOKUP($A13&amp;$B$1,'Export 3 Oct'!$B$6:$K$851,6, FALSE)</f>
        <v>https://wikirate.org/~21476177</v>
      </c>
      <c r="H13" s="14" t="str">
        <f ca="1">VLOOKUP($A13&amp;$B$1,'Export 3 Oct'!$B$6:$K$851,10, FALSE)</f>
        <v>ESRS p. 159 (index) IFRS p.112 "as well as additions to right-of-use assets in accordance with IFRS 16" Yohann[https://wikirate.org/Yohann].....2025-08-13 10:07:50 UTC p. 88 "The CDP supply chain questionnaire collects data on suppliers' emissions and environmental practices, providing a clear overview of indirect emissions. With detailed emissions data, we can identify the areas in our supply chain that are most affected and set priorities for decarbonization. We also use the questionnaire data to compare our suppliers with other companies in the industry, tracking improvements from year to year. " Aureliane[https://wikirate.org/Aureliane].....2025-08-26 12:39:43 UTC IFRS seems to only apply to financial statement Aureliane[https://wikirate.org/Aureliane].....2025-08-27 07:45:08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https://wikirate.org/~21476177</v>
      </c>
      <c r="H14" s="14" t="str">
        <f ca="1">VLOOKUP($A14&amp;$B$1,'Export 3 Oct'!$B$6:$K$851,10, FALSE)</f>
        <v>2 Index pp. 151/159 but not alongside disclosures Yohann[https://wikirate.org/Yohann].....2025-08-13 10:11:19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https://wikirate.org/~21476177</v>
      </c>
      <c r="H15" s="14"/>
      <c r="I15" s="12"/>
    </row>
    <row r="16" spans="1:9" ht="176">
      <c r="A16" s="13" t="s">
        <v>1143</v>
      </c>
      <c r="B16" s="14" t="s">
        <v>1507</v>
      </c>
      <c r="C16" s="14" t="s">
        <v>1522</v>
      </c>
      <c r="D16" s="14" t="str">
        <f ca="1">VLOOKUP($A16&amp;$B$1,'Export 3 Oct'!$B$6:$K$851,5, FALSE)</f>
        <v>Not specified</v>
      </c>
      <c r="E16" s="12">
        <v>0</v>
      </c>
      <c r="F16" s="12"/>
      <c r="G16" s="12" t="str">
        <f ca="1">VLOOKUP($A16&amp;$B$1,'Export 3 Oct'!$B$6:$K$851,6, FALSE)</f>
        <v>https://wikirate.org/~21476177</v>
      </c>
      <c r="H16" s="14" t="str">
        <f ca="1">VLOOKUP($A16&amp;$B$1,'Export 3 Oct'!$B$6:$K$851,10, FALSE)</f>
        <v>only this passage at the end: "The engagement, in the performance of which we have provided the services described above on behalf of Daimler Truck Holding AG, Stuttgart, was carried out on the basis of the General Engagement Terms for Wirtschaftspr√ºferinnen, Wirtschaftspr√ºfer und Wirtschaftspr√ºfungsgesellschaften (Allgemeine Auftragsbedingungen f√ºr Wirtschaftspr√ºferinnen, Wirtschaftspr√ºfer und Wirtschaftspr√ºfungsgesellschaften) dated as of January 1, 2024 (www.kpmg.de/AAB_2024)[http://www.kpmg.de/AAB_2024)]. By taking note of and using the information as contained in our report each recipient confirms to have taken note of the terms and conditions stipulated in the aforementioned General Engagement Terms (including the liability limitations to EUR 4 Mio specified in item No. 9 included therein) and acknowledges their validity in relation to us." p. 303 but it seems to refer only to the information contained in the audit report on sustainability not the whole document. Yohann[https://wikirate.org/Yohann].....</v>
      </c>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https://wikirate.org/~21476177</v>
      </c>
      <c r="H18" s="14" t="str">
        <f ca="1">VLOOKUP($A18&amp;$B$1,'Export 3 Oct'!$B$6:$K$851,10, FALSE)</f>
        <v>see p. 78 "The double materiality analysis confirmed the focus topics of our sustainability strategy and identified seven areas of action as material." Yohann[https://wikirate.org/Yohann].....2025-08-13 14:48:09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https://wikirate.org/~21476177</v>
      </c>
      <c r="H19" s="14" t="str">
        <f ca="1">VLOOKUP($A19&amp;$B$1,'Export 3 Oct'!$B$6:$K$851,10, FALSE)</f>
        <v>not material p. 157 Yohann[https://wikirate.org/Yohann].....2025-08-13 14:48:41 UTC</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https://wikirate.org/~21476177</v>
      </c>
      <c r="H20" s="14" t="str">
        <f ca="1">VLOOKUP($A20&amp;$B$1,'Export 3 Oct'!$B$6:$K$851,10, FALSE)</f>
        <v>p. 301 "We have conducted a limited assurance engagement on the Group Sustainability Statement" Yohann[https://wikirate.org/Yohann].....2025-08-13 14:49:28 UTC</v>
      </c>
      <c r="I20" s="12"/>
    </row>
    <row r="21" spans="1:9" ht="64">
      <c r="A21" s="13" t="s">
        <v>13</v>
      </c>
      <c r="B21" s="14" t="s">
        <v>1511</v>
      </c>
      <c r="C21" s="12" t="s">
        <v>1523</v>
      </c>
      <c r="D21" s="14" t="str">
        <f ca="1">VLOOKUP($A21&amp;$B$1,'Export 3 Oct'!$B$6:$K$851,5, FALSE)</f>
        <v>Yes</v>
      </c>
      <c r="E21" s="12" t="s">
        <v>1515</v>
      </c>
      <c r="F21" s="12"/>
      <c r="G21" s="12" t="str">
        <f ca="1">VLOOKUP($A21&amp;$B$1,'Export 3 Oct'!$B$6:$K$851,6, FALSE)</f>
        <v>https://wikirate.org/~21476177</v>
      </c>
      <c r="H21" s="14" t="str">
        <f ca="1">VLOOKUP($A21&amp;$B$1,'Export 3 Oct'!$B$6:$K$851,10, FALSE)</f>
        <v>"Our goal is for our suppliers to respect social and environmental standards and thus support our sustainability efforts with regard to human rights and the environment. We rely on a concept of binding requirements, screenings, and audits, as well as information and qualification measures for supplier" p. 135 Yohann[https://wikirate.org/Yohann].....2025-08-13 14:55:32 UTC</v>
      </c>
      <c r="I21" s="12"/>
    </row>
    <row r="26" spans="1:9">
      <c r="A26" s="39" t="s">
        <v>1634</v>
      </c>
    </row>
    <row r="27" spans="1:9">
      <c r="A27" s="38" t="s">
        <v>1630</v>
      </c>
      <c r="B27" s="40">
        <f>AVERAGE($E$5,$E$6,$E$7)</f>
        <v>8</v>
      </c>
    </row>
    <row r="28" spans="1:9">
      <c r="A28" s="38" t="s">
        <v>1631</v>
      </c>
      <c r="B28" s="40">
        <f>AVERAGE($E$8,$E$9)</f>
        <v>7.5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CDDEA-597A-4B4F-BA6B-617602A5C511}">
  <sheetPr codeName="Sheet15"/>
  <dimension ref="A1:I30"/>
  <sheetViews>
    <sheetView topLeftCell="A19"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Deere &amp; Co</v>
      </c>
    </row>
    <row r="2" spans="1:9" ht="23">
      <c r="A2" s="8" t="s">
        <v>1616</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https://wikirate.org/~22218873</v>
      </c>
      <c r="H5" s="14" t="str">
        <f ca="1">VLOOKUP($A5&amp;$B$1,'Export 3 Oct'!$B$6:$K$851,10, FALSE)</f>
        <v>https://investor.deere.com/Sustainability-Reports/default.aspx Annual report also available on SEC but doesn't contain sustainability data in it Yohann[https://wikirate.org/Yohann].....2025-08-14 16:41:50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https://wikirate.org/~21495973</v>
      </c>
      <c r="H6" s="14"/>
      <c r="I6" s="12"/>
    </row>
    <row r="7" spans="1:9" ht="48">
      <c r="A7" s="13" t="s">
        <v>901</v>
      </c>
      <c r="B7" s="14" t="s">
        <v>1498</v>
      </c>
      <c r="C7" s="14" t="s">
        <v>1517</v>
      </c>
      <c r="D7" s="14" t="str">
        <f ca="1">VLOOKUP($A7&amp;$B$1,'Export 3 Oct'!$B$6:$K$851,5, FALSE)</f>
        <v>Yes</v>
      </c>
      <c r="E7" s="12">
        <v>10</v>
      </c>
      <c r="F7" s="12"/>
      <c r="G7" s="12" t="str">
        <f ca="1">VLOOKUP($A7&amp;$B$1,'Export 3 Oct'!$B$6:$K$851,6, FALSE)</f>
        <v>https://wikirate.org/~22218873</v>
      </c>
      <c r="H7" s="14" t="str">
        <f ca="1">VLOOKUP($A7&amp;$B$1,'Export 3 Oct'!$B$6:$K$851,10, FALSE)</f>
        <v>can change date at the top: https://investor.deere.com/Sustainability-Reports/default.aspx Yohann[https://wikirate.org/Yohann].....2025-08-14 16:44:09 UTC 2021-2024 Lucia Ixtacuy[https://wikirate.org/Lucia_Ixtacuy].....2025-09-11 11:32:51 UTC</v>
      </c>
      <c r="I7" s="12"/>
    </row>
    <row r="8" spans="1:9" ht="80">
      <c r="A8" s="13" t="s">
        <v>629</v>
      </c>
      <c r="B8" s="14" t="s">
        <v>1499</v>
      </c>
      <c r="C8" s="14" t="s">
        <v>1517</v>
      </c>
      <c r="D8" s="14" t="str">
        <f ca="1">VLOOKUP($A8&amp;$B$1,'Export 3 Oct'!$B$6:$K$851,5, FALSE)</f>
        <v>Yes</v>
      </c>
      <c r="E8" s="12">
        <v>10</v>
      </c>
      <c r="F8" s="12"/>
      <c r="G8" s="12" t="str">
        <f ca="1">VLOOKUP($A8&amp;$B$1,'Export 3 Oct'!$B$6:$K$851,6, FALSE)</f>
        <v>https://wikirate.org/~21495973</v>
      </c>
      <c r="H8" s="14" t="str">
        <f ca="1">VLOOKUP($A8&amp;$B$1,'Export 3 Oct'!$B$6:$K$851,10, FALSE)</f>
        <v>p. 29 Yohann[https://wikirate.org/Yohann].....2025-08-14 16:46:58 UTC "Our commitment to respecting human rights is defined in our Code of Business Conduct, Supplier Code of Conduct, Dealer Code of Conduct, and John Deere‚Äôs Support of Human Rights in Our Business Practices. These codes aim to establish clear guidelines for our employees, " p. 29 Lucia Ixtacuy[https://wikirate.org/Lucia_Ixtacuy].....2025-09-11 11:26:03 UTC</v>
      </c>
      <c r="I8" s="12"/>
    </row>
    <row r="9" spans="1:9" ht="80">
      <c r="A9" s="13" t="s">
        <v>701</v>
      </c>
      <c r="B9" s="14" t="s">
        <v>1500</v>
      </c>
      <c r="C9" s="14" t="s">
        <v>1518</v>
      </c>
      <c r="D9" s="14" t="str">
        <f ca="1">VLOOKUP($A9&amp;$B$1,'Export 3 Oct'!$B$6:$K$851,5, FALSE)</f>
        <v>Library with current documents</v>
      </c>
      <c r="E9" s="12">
        <v>5</v>
      </c>
      <c r="F9" s="12"/>
      <c r="G9" s="12" t="str">
        <f ca="1">VLOOKUP($A9&amp;$B$1,'Export 3 Oct'!$B$6:$K$851,6, FALSE)</f>
        <v>https://wikirate.org/~22218907</v>
      </c>
      <c r="H9" s="14" t="str">
        <f ca="1">VLOOKUP($A9&amp;$B$1,'Export 3 Oct'!$B$6:$K$851,10, FALSE)</f>
        <v>https://about.deere.com/en-us/explore-john-deere/ethics-compliance/?adobe_mc=MCORGID%3D8CC867C25245ADC30A490D4C%2540AdobeOrg%7CTS%3D1755190156. Yohann[https://wikirate.org/Yohann].....2025-08-14 16:52:14 UTC Current policies and documents are available, but I can't see the archive. Aureliane[https://wikirate.org/Aureliane].....2025-08-27 09:30:29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https://wikirate.org/~21495973</v>
      </c>
      <c r="H10" s="14" t="str">
        <f ca="1">VLOOKUP($A10&amp;$B$1,'Export 3 Oct'!$B$6:$K$851,10, FALSE)</f>
        <v>But p. 49 "2-2 Entities included in the organization‚Äôs Business Impact Reporting Refer to our 2024 10-K Report." (it's a link) Yohann[https://wikirate.org/Yohann].....2025-08-14 16:57:32 UTC</v>
      </c>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https://wikirate.org/~21495973</v>
      </c>
      <c r="H11" s="14" t="str">
        <f ca="1">VLOOKUP($A11&amp;$B$1,'Export 3 Oct'!$B$6:$K$851,10, FALSE)</f>
        <v>" Fiscal Year 2024: November 1, 2023 to October 31, 2024" p. 56 Yohann[https://wikirate.org/Yohann].....2025-08-14 17:02:53 UTC Included in the auditor's report Aureliane[https://wikirate.org/Aureliane].....2025-08-27 09:43:32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https://wikirate.org/~21495973</v>
      </c>
      <c r="H12" s="14"/>
      <c r="I12" s="12"/>
    </row>
    <row r="13" spans="1:9" ht="208">
      <c r="A13" s="13" t="s">
        <v>1044</v>
      </c>
      <c r="B13" s="14" t="s">
        <v>1504</v>
      </c>
      <c r="C13" s="14" t="s">
        <v>1520</v>
      </c>
      <c r="D13" s="14" t="str">
        <f ca="1">VLOOKUP($A13&amp;$B$1,'Export 3 Oct'!$B$6:$K$851,5, FALSE)</f>
        <v>GRI Standards, SASB, Greenhouse Gas Protocol, Other</v>
      </c>
      <c r="E13" s="12">
        <v>10</v>
      </c>
      <c r="F13" s="12"/>
      <c r="G13" s="12" t="str">
        <f ca="1">VLOOKUP($A13&amp;$B$1,'Export 3 Oct'!$B$6:$K$851,6, FALSE)</f>
        <v>https://wikirate.org/~21495973</v>
      </c>
      <c r="H13" s="14" t="str">
        <f ca="1">VLOOKUP($A13&amp;$B$1,'Export 3 Oct'!$B$6:$K$851,10, FALSE)</f>
        <v>"We seek to continually monitor and review developing sustainability frameworks, standards, and global regulations by incorporating those we deem most applicable to our business into our reporting. Indices connecting our disclosures to the priorities set by the Task Force on Climate-Related Financial Disclosures (TCFD), the Sustainability Accounting Standards Board (SASB), the United Nations Sustainable Development Goals (UN SDGs), and the Global Reporting Initiative (GRI) are provided within." p. 3 GGP "Deere has elected to report its GHG emissions on an operational control basis, as defined by the GHG protocol" p. 9 the text also mention CDP "Deere also continues to report to CDP on an annual basis." p. 3 but from what I understand those are not included in this report, same for ESRS "In light of the dynamic regulatory environment around sustainability and climate change, including the European Union‚Äôs Corporate Sustainability Reporting Directive (CSRD), this year we also updated processes and aligned re...</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https://wikirate.org/~21495973</v>
      </c>
      <c r="H14" s="14" t="str">
        <f ca="1">VLOOKUP($A14&amp;$B$1,'Export 3 Oct'!$B$6:$K$851,10, FALSE)</f>
        <v>GRI index pp. 50/54 Yohann[https://wikirate.org/Yohann].....2025-08-14 17:13:13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https://wikirate.org/~21495973</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https://wikirate.org/~21495973</v>
      </c>
      <c r="H16" s="14"/>
      <c r="I16" s="12"/>
    </row>
    <row r="17" spans="1:9">
      <c r="A17" s="15" t="s">
        <v>1512</v>
      </c>
      <c r="B17" s="16"/>
      <c r="C17" s="17"/>
      <c r="D17" s="16"/>
      <c r="E17" s="17"/>
      <c r="F17" s="17"/>
      <c r="G17" s="17"/>
      <c r="H17" s="16"/>
      <c r="I17" s="12"/>
    </row>
    <row r="18" spans="1:9" ht="160">
      <c r="A18" s="13" t="s">
        <v>1195</v>
      </c>
      <c r="B18" s="14" t="s">
        <v>1508</v>
      </c>
      <c r="C18" s="12" t="s">
        <v>1523</v>
      </c>
      <c r="D18" s="14" t="str">
        <f ca="1">VLOOKUP($A18&amp;$B$1,'Export 3 Oct'!$B$6:$K$851,5, FALSE)</f>
        <v>No</v>
      </c>
      <c r="E18" s="12" t="s">
        <v>1515</v>
      </c>
      <c r="F18" s="12"/>
      <c r="G18" s="12" t="str">
        <f ca="1">VLOOKUP($A18&amp;$B$1,'Export 3 Oct'!$B$6:$K$851,6, FALSE)</f>
        <v>https://wikirate.org/~21495973</v>
      </c>
      <c r="H18" s="14" t="str">
        <f ca="1">VLOOKUP($A18&amp;$B$1,'Export 3 Oct'!$B$6:$K$851,10, FALSE)</f>
        <v>"Sustainability materiality assessment" is mentioned, but it is not clear whether it equals to double materiality p.3 Deere completed a formal sustainability materiality assessment in 2021. The company utilized that assessment in numerous ways. Our highest-priority topics served as the focus areas for the Leap Ambitions, released in February 2022. As seen in the Business Impact Report, the highest-priority topics and Leap Ambitions guided our approach to sustainability reporting. And we utilize these topics to align with our internal Enterprise Risk Management process. In describing the 2021 sustainability materiality assessment, we are not using such terms ‚Äúmaterial‚Äù or ‚Äúmateriality‚Äù as they are used under the securities or other laws of the U.S. or any other jurisdiction, or as they are used in the context of financial statements and financial reporting. Aureliane[https://wikirate.org/Aureliane].....2025-08-27 10:19:09 UTC</v>
      </c>
      <c r="I18" s="12"/>
    </row>
    <row r="19" spans="1:9" ht="192">
      <c r="A19" s="13" t="s">
        <v>1280</v>
      </c>
      <c r="B19" s="14" t="s">
        <v>1509</v>
      </c>
      <c r="C19" s="12" t="s">
        <v>1523</v>
      </c>
      <c r="D19" s="14" t="str">
        <f ca="1">VLOOKUP($A19&amp;$B$1,'Export 3 Oct'!$B$6:$K$851,5, FALSE)</f>
        <v>Yes</v>
      </c>
      <c r="E19" s="12" t="s">
        <v>1515</v>
      </c>
      <c r="F19" s="12"/>
      <c r="G19" s="12" t="str">
        <f ca="1">VLOOKUP($A19&amp;$B$1,'Export 3 Oct'!$B$6:$K$851,6, FALSE)</f>
        <v>https://wikirate.org/~21495973</v>
      </c>
      <c r="H19" s="14" t="str">
        <f ca="1">VLOOKUP($A19&amp;$B$1,'Export 3 Oct'!$B$6:$K$851,10, FALSE)</f>
        <v>Section on political engagement but no budget disclosure. p.43 "Our participation in trade associations is subject to management approval and oversight. We publicly disclose and annually update a list of those U.S. trade associations to which John Deere pays dues or makes other contributions of $50,000 USD or more, as well as the portions of such dues or payments that are not deductible under Section 162(e)(1) of the Internal Revenue Code. To view the 2024 report for U.S. trade association memberships and expenditures, please click here. 43ENVIRONMENTALINDICES AND REPORTS||||SOCIALGOVERNANCEOUR SUSTAINABILITY APPROACH" Aureliane[https://wikirate.org/Aureliane].....2025-08-27 10:20:40 UTC p. 43 "JDPAC does not take positions on legislative matters or engage in lobbying activity. Further, JDPAC does not seek to influence any specific vote or decision through contributions. As required by law, JDPAC fully discloses all contributions made and received through reports filed with the U.S. Federal Election Commis...</v>
      </c>
      <c r="I19" s="12"/>
    </row>
    <row r="20" spans="1:9" ht="80">
      <c r="A20" s="13" t="s">
        <v>814</v>
      </c>
      <c r="B20" s="14" t="s">
        <v>1510</v>
      </c>
      <c r="C20" s="14" t="s">
        <v>1524</v>
      </c>
      <c r="D20" s="14" t="str">
        <f ca="1">VLOOKUP($A20&amp;$B$1,'Export 3 Oct'!$B$6:$K$851,5, FALSE)</f>
        <v>Limited assurance, Reasonable assurance</v>
      </c>
      <c r="E20" s="12" t="s">
        <v>1515</v>
      </c>
      <c r="F20" s="12"/>
      <c r="G20" s="12" t="str">
        <f ca="1">VLOOKUP($A20&amp;$B$1,'Export 3 Oct'!$B$6:$K$851,6, FALSE)</f>
        <v>https://wikirate.org/~21495973</v>
      </c>
      <c r="H20" s="14" t="str">
        <f ca="1">VLOOKUP($A20&amp;$B$1,'Export 3 Oct'!$B$6:$K$851,10, FALSE)</f>
        <v>"Reasonable (Scope 1 and 2 GHG Emissions, Total Energy, Renewable Energy, Water Consumption (Fiscal Years 2022 and 2023), Waste (Fiscal Year 2023)) ‚Ä¢ Limited (Scope 3 GHG Emissions, Safety, Waste (Fiscal Years 2022 and 2024), Water (Fiscal Year 2024), Waste Intensity, Water Intensity)" p. 56 The assurance only applies to some sustainability metrics. Yohann[https://wikirate.org/Yohann].....2025-08-14 17:19:15 UTC</v>
      </c>
      <c r="I20" s="12"/>
    </row>
    <row r="21" spans="1:9" ht="80">
      <c r="A21" s="13" t="s">
        <v>13</v>
      </c>
      <c r="B21" s="14" t="s">
        <v>1511</v>
      </c>
      <c r="C21" s="12" t="s">
        <v>1523</v>
      </c>
      <c r="D21" s="14" t="str">
        <f ca="1">VLOOKUP($A21&amp;$B$1,'Export 3 Oct'!$B$6:$K$851,5, FALSE)</f>
        <v>Yes</v>
      </c>
      <c r="E21" s="12" t="s">
        <v>1515</v>
      </c>
      <c r="F21" s="12"/>
      <c r="G21" s="12" t="str">
        <f ca="1">VLOOKUP($A21&amp;$B$1,'Export 3 Oct'!$B$6:$K$851,6, FALSE)</f>
        <v>https://wikirate.org/~21495973</v>
      </c>
      <c r="H21" s="14" t="str">
        <f ca="1">VLOOKUP($A21&amp;$B$1,'Export 3 Oct'!$B$6:$K$851,10, FALSE)</f>
        <v>"Our focus on human rights remains a critical component of our strategy. We utilize tools like inherent risk assessments, sustainability scorecards, and internal audits to develop a Supplier Risk Profile Index (RPI) that specifically targets human rights risks." p. 36 Yohann[https://wikirate.org/Yohann].....2025-08-14 17:20:39 UTC p.36 they disclose the number of supplier audits conducted. Aureliane[https://wikirate.org/Aureliane].....2025-08-27 10:22:20 UTC</v>
      </c>
      <c r="I21" s="12"/>
    </row>
    <row r="26" spans="1:9">
      <c r="A26" s="39" t="s">
        <v>1634</v>
      </c>
    </row>
    <row r="27" spans="1:9">
      <c r="A27" s="38" t="s">
        <v>1630</v>
      </c>
      <c r="B27" s="40">
        <f>AVERAGE($E$5,$E$6,$E$7)</f>
        <v>6.333333333333333</v>
      </c>
    </row>
    <row r="28" spans="1:9">
      <c r="A28" s="38" t="s">
        <v>1631</v>
      </c>
      <c r="B28" s="40">
        <f>AVERAGE($E$8,$E$9)</f>
        <v>7.5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42900-6C23-8F43-BA52-A2D674DA439A}">
  <sheetPr codeName="Sheet16"/>
  <dimension ref="A1:I30"/>
  <sheetViews>
    <sheetView topLeftCell="A14"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Diehl Stiftung &amp; Co. KG</v>
      </c>
    </row>
    <row r="2" spans="1:9" ht="23">
      <c r="A2" s="8" t="s">
        <v>1616</v>
      </c>
      <c r="B2" s="18">
        <f>SUM(E5:E16)/12</f>
        <v>3.25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https://wikirate.org/~22246574</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https://wikirate.org/~22246574</v>
      </c>
      <c r="H6" s="14"/>
      <c r="I6" s="12"/>
    </row>
    <row r="7" spans="1:9" ht="32">
      <c r="A7" s="13" t="s">
        <v>901</v>
      </c>
      <c r="B7" s="14" t="s">
        <v>1498</v>
      </c>
      <c r="C7" s="14" t="s">
        <v>1517</v>
      </c>
      <c r="D7" s="14" t="str">
        <f ca="1">VLOOKUP($A7&amp;$B$1,'Export 3 Oct'!$B$6:$K$851,5, FALSE)</f>
        <v>No</v>
      </c>
      <c r="E7" s="12">
        <v>0</v>
      </c>
      <c r="F7" s="12"/>
      <c r="G7" s="12" t="str">
        <f ca="1">VLOOKUP($A7&amp;$B$1,'Export 3 Oct'!$B$6:$K$851,6, FALSE)</f>
        <v>https://wikirate.org/~22246574</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https://wikirate.org/~22246595</v>
      </c>
      <c r="H8" s="14"/>
      <c r="I8" s="12"/>
    </row>
    <row r="9" spans="1:9" ht="64">
      <c r="A9" s="13" t="s">
        <v>701</v>
      </c>
      <c r="B9" s="14" t="s">
        <v>1500</v>
      </c>
      <c r="C9" s="14" t="s">
        <v>1518</v>
      </c>
      <c r="D9" s="14" t="str">
        <f ca="1">VLOOKUP($A9&amp;$B$1,'Export 3 Oct'!$B$6:$K$851,5, FALSE)</f>
        <v>No</v>
      </c>
      <c r="E9" s="12">
        <v>0</v>
      </c>
      <c r="F9" s="12"/>
      <c r="G9" s="12" t="str">
        <f ca="1">VLOOKUP($A9&amp;$B$1,'Export 3 Oct'!$B$6:$K$851,6, FALSE)</f>
        <v>https://wikirate.org/~22246606</v>
      </c>
      <c r="H9" s="14" t="str">
        <f ca="1">VLOOKUP($A9&amp;$B$1,'Export 3 Oct'!$B$6:$K$851,10, FALSE)</f>
        <v>There is a page that seems to summarize most of the policies and code of conduct, but there is no archive or library of policies and codes. Laureen van Breen[https://wikirate.org/Laureen_van_Breen].....2025-08-19 19:50:07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https://wikirate.org/~22246595</v>
      </c>
      <c r="H10" s="14"/>
      <c r="I10" s="12"/>
    </row>
    <row r="11" spans="1:9" ht="96">
      <c r="A11" s="13" t="s">
        <v>412</v>
      </c>
      <c r="B11" s="14" t="s">
        <v>1502</v>
      </c>
      <c r="C11" s="14" t="s">
        <v>1517</v>
      </c>
      <c r="D11" s="14" t="str">
        <f ca="1">VLOOKUP($A11&amp;$B$1,'Export 3 Oct'!$B$6:$K$851,5, FALSE)</f>
        <v>Yes</v>
      </c>
      <c r="E11" s="12">
        <v>10</v>
      </c>
      <c r="F11" s="12"/>
      <c r="G11" s="12" t="str">
        <f ca="1">VLOOKUP($A11&amp;$B$1,'Export 3 Oct'!$B$6:$K$851,6, FALSE)</f>
        <v>https://wikirate.org/~22246595</v>
      </c>
      <c r="H11" s="14" t="str">
        <f ca="1">VLOOKUP($A11&amp;$B$1,'Export 3 Oct'!$B$6:$K$851,10, FALSE)</f>
        <v>To provide stakeholders with a transparent picture of the Diehl Group‚Äòs sustainability performance, a Sustainability Report for the fiscal year 2024 was prepared on a voluntary basis. ( p. 7) No specifics are provided to indicate from when to when their fiscal year runs. Laureen van Breen[https://wikirate.org/Laureen_van_Breen].....2025-08-19 20:01:36 UTC Seeing that in Germany, the fiscal year runs from 1 January until 31 December, updating the answer to yes. Laureen van Breen[https://wikirate.org/Laureen_van_Breen].....2025-09-22 12:02:17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https://wikirate.org/~22246595</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https://wikirate.org/~22246595</v>
      </c>
      <c r="H13" s="14" t="str">
        <f ca="1">VLOOKUP($A13&amp;$B$1,'Export 3 Oct'!$B$6:$K$851,10, FALSE)</f>
        <v>ESRS (p. 8) Greenhouse Gas Protocol (p.29) CDP mentioned on page 19 but regarding a rating, not clear it was used for their non-financial reporting. Laureen van Breen[https://wikirate.org/Laureen_van_Breen].....2025-08-19 20:07:43 UTC</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https://wikirate.org/~22246595</v>
      </c>
      <c r="H14" s="14" t="str">
        <f ca="1">VLOOKUP($A14&amp;$B$1,'Export 3 Oct'!$B$6:$K$851,10, FALSE)</f>
        <v>The references to ESRS codes are too high-level to identify specific disclosures in the report (for example: p. 8) There are a few specific disclosure requirement codes mentioned but those are in reference to the annual report (p. 8) Laureen van Breen[https://wikirate.org/Laureen_van_Breen].....2025-08-19 20:13:11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https://wikirate.org/~22246595</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https://wikirate.org/~22246595</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https://wikirate.org/~22246595</v>
      </c>
      <c r="H18" s="14" t="str">
        <f ca="1">VLOOKUP($A18&amp;$B$1,'Export 3 Oct'!$B$6:$K$851,10, FALSE)</f>
        <v>p. 22 Laureen van Breen[https://wikirate.org/Laureen_van_Breen].....2025-08-19 20:17:32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https://wikirate.org/~22246595</v>
      </c>
      <c r="H19" s="14" t="str">
        <f ca="1">VLOOKUP($A19&amp;$B$1,'Export 3 Oct'!$B$6:$K$851,10, FALSE)</f>
        <v>p. 69 Laureen van Breen[https://wikirate.org/Laureen_van_Breen].....2025-08-19 20:20:14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https://wikirate.org/~22246595</v>
      </c>
      <c r="H20" s="14"/>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https://wikirate.org/~22246595</v>
      </c>
      <c r="H21" s="14" t="str">
        <f ca="1">VLOOKUP($A21&amp;$B$1,'Export 3 Oct'!$B$6:$K$851,10, FALSE)</f>
        <v>In the event of violations of the Supplier Code of Conduct, remedial measures will be demanded immediately and audits carried out where necessary. (p. 68) Laureen van Breen[https://wikirate.org/Laureen_van_Breen].....2025-08-19 20:23:24 UTC</v>
      </c>
      <c r="I21" s="12"/>
    </row>
    <row r="26" spans="1:9">
      <c r="A26" s="39" t="s">
        <v>1634</v>
      </c>
    </row>
    <row r="27" spans="1:9">
      <c r="A27" s="38" t="s">
        <v>1630</v>
      </c>
      <c r="B27" s="40">
        <f>AVERAGE($E$5,$E$6,$E$7)</f>
        <v>3</v>
      </c>
    </row>
    <row r="28" spans="1:9">
      <c r="A28" s="38" t="s">
        <v>1631</v>
      </c>
      <c r="B28" s="40">
        <f>AVERAGE($E$8,$E$9)</f>
        <v>0</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86907-CAF3-5D42-82C7-EAFAD8BE3D28}">
  <sheetPr codeName="Sheet2"/>
  <dimension ref="A1:U51"/>
  <sheetViews>
    <sheetView tabSelected="1" workbookViewId="0">
      <selection activeCell="E30" sqref="E30"/>
    </sheetView>
  </sheetViews>
  <sheetFormatPr baseColWidth="10" defaultRowHeight="16"/>
  <cols>
    <col min="1" max="1" width="31" bestFit="1" customWidth="1"/>
    <col min="2" max="2" width="20.5" bestFit="1" customWidth="1"/>
    <col min="3" max="3" width="5.83203125" bestFit="1" customWidth="1"/>
    <col min="5" max="5" width="20.5" bestFit="1" customWidth="1"/>
    <col min="6" max="6" width="4.6640625" bestFit="1" customWidth="1"/>
    <col min="8" max="8" width="20.5" bestFit="1" customWidth="1"/>
    <col min="9" max="9" width="5.83203125" bestFit="1" customWidth="1"/>
    <col min="11" max="11" width="20.83203125" bestFit="1" customWidth="1"/>
    <col min="12" max="12" width="5.83203125" bestFit="1" customWidth="1"/>
    <col min="14" max="14" width="23.33203125" bestFit="1" customWidth="1"/>
    <col min="15" max="15" width="5.83203125" bestFit="1" customWidth="1"/>
    <col min="17" max="17" width="30" bestFit="1" customWidth="1"/>
    <col min="18" max="18" width="7.33203125" bestFit="1" customWidth="1"/>
    <col min="20" max="20" width="19.5" bestFit="1" customWidth="1"/>
    <col min="21" max="21" width="7.33203125" bestFit="1" customWidth="1"/>
  </cols>
  <sheetData>
    <row r="1" spans="1:21">
      <c r="A1" s="23" t="s">
        <v>1485</v>
      </c>
      <c r="B1" s="23" t="s">
        <v>1619</v>
      </c>
      <c r="C1" s="23" t="s">
        <v>1620</v>
      </c>
      <c r="E1" s="33" t="s">
        <v>1636</v>
      </c>
      <c r="F1" s="34"/>
      <c r="H1" s="35" t="s">
        <v>1622</v>
      </c>
      <c r="I1" s="35" t="s">
        <v>1620</v>
      </c>
      <c r="K1" s="35" t="s">
        <v>1624</v>
      </c>
      <c r="L1" s="35" t="s">
        <v>1620</v>
      </c>
      <c r="N1" s="35" t="s">
        <v>1625</v>
      </c>
      <c r="O1" s="35" t="s">
        <v>1620</v>
      </c>
      <c r="Q1" s="35" t="s">
        <v>1626</v>
      </c>
      <c r="R1" s="35" t="s">
        <v>1620</v>
      </c>
      <c r="T1" s="35" t="s">
        <v>1627</v>
      </c>
      <c r="U1" s="35" t="s">
        <v>1620</v>
      </c>
    </row>
    <row r="2" spans="1:21">
      <c r="A2" s="1" t="s">
        <v>68</v>
      </c>
      <c r="B2" t="str">
        <f>VLOOKUP(A2,Sectors!$A$2:$B$51,2, FALSE)</f>
        <v>Electrical</v>
      </c>
      <c r="C2" s="98">
        <f>'50Hertz Transmission'!$B$2</f>
        <v>3.25</v>
      </c>
      <c r="E2" t="s">
        <v>1621</v>
      </c>
      <c r="F2" s="98">
        <f>AVERAGE(C2:C51)</f>
        <v>4.91</v>
      </c>
      <c r="H2" s="26" t="s">
        <v>152</v>
      </c>
      <c r="I2" s="24">
        <f t="shared" ref="I2:I11" si="0">VLOOKUP($H2,$A$1:$C$51,3,FALSE)</f>
        <v>4.083333333333333</v>
      </c>
      <c r="K2" s="1" t="s">
        <v>155</v>
      </c>
      <c r="L2" s="24">
        <f t="shared" ref="L2:L11" si="1">VLOOKUP($K2,$A$1:$C$51,3,FALSE)</f>
        <v>4.083333333333333</v>
      </c>
      <c r="N2" s="26" t="s">
        <v>132</v>
      </c>
      <c r="O2" s="24">
        <f t="shared" ref="O2:O11" si="2">VLOOKUP($N2,$A$1:$C$51,3,FALSE)</f>
        <v>2.4166666666666665</v>
      </c>
      <c r="Q2" s="26" t="s">
        <v>182</v>
      </c>
      <c r="R2" s="24">
        <f t="shared" ref="R2:R11" si="3">VLOOKUP($Q2,$A$1:$C$51,3,FALSE)</f>
        <v>2.4166666666666665</v>
      </c>
      <c r="T2" s="26" t="s">
        <v>42</v>
      </c>
      <c r="U2" s="24">
        <f t="shared" ref="U2:U11" si="4">VLOOKUP($T2,$A$1:$C$51,3,FALSE)</f>
        <v>0</v>
      </c>
    </row>
    <row r="3" spans="1:21">
      <c r="A3" s="1" t="s">
        <v>74</v>
      </c>
      <c r="B3" t="str">
        <f>VLOOKUP(A3,Sectors!$A$2:$B$51,2, FALSE)</f>
        <v>Military and defense</v>
      </c>
      <c r="C3" s="98">
        <f>'Airbus Group'!$B$2</f>
        <v>5.333333333333333</v>
      </c>
      <c r="E3" t="s">
        <v>1622</v>
      </c>
      <c r="F3" s="98">
        <f>AVERAGEIF($B$2:$B$51,$E3,$C$2:$C$51)</f>
        <v>5.5500000000000007</v>
      </c>
      <c r="H3" s="26" t="s">
        <v>126</v>
      </c>
      <c r="I3" s="24">
        <f t="shared" si="0"/>
        <v>4.5</v>
      </c>
      <c r="K3" s="26" t="s">
        <v>168</v>
      </c>
      <c r="L3" s="24">
        <f t="shared" si="1"/>
        <v>4.583333333333333</v>
      </c>
      <c r="N3" s="26" t="s">
        <v>164</v>
      </c>
      <c r="O3" s="24">
        <f t="shared" si="2"/>
        <v>3.25</v>
      </c>
      <c r="Q3" s="26" t="s">
        <v>68</v>
      </c>
      <c r="R3" s="24">
        <f t="shared" si="3"/>
        <v>3.25</v>
      </c>
      <c r="T3" s="26" t="s">
        <v>1412</v>
      </c>
      <c r="U3" s="24">
        <f t="shared" si="4"/>
        <v>2</v>
      </c>
    </row>
    <row r="4" spans="1:21">
      <c r="A4" s="1" t="s">
        <v>182</v>
      </c>
      <c r="B4" t="str">
        <f>VLOOKUP(A4,Sectors!$A$2:$B$51,2, FALSE)</f>
        <v>Electrical</v>
      </c>
      <c r="C4" s="98">
        <f>'Amprion GmbH'!$B$2</f>
        <v>2.4166666666666665</v>
      </c>
      <c r="E4" t="s">
        <v>1624</v>
      </c>
      <c r="F4" s="98">
        <f>AVERAGEIF($B$2:$B$51,$E4,$C$2:$C$51)</f>
        <v>5.3583333333333334</v>
      </c>
      <c r="H4" s="26" t="s">
        <v>142</v>
      </c>
      <c r="I4" s="24">
        <f t="shared" si="0"/>
        <v>4.916666666666667</v>
      </c>
      <c r="K4" s="26" t="s">
        <v>129</v>
      </c>
      <c r="L4" s="24">
        <f t="shared" si="1"/>
        <v>4.916666666666667</v>
      </c>
      <c r="N4" s="26" t="s">
        <v>201</v>
      </c>
      <c r="O4" s="24">
        <f t="shared" si="2"/>
        <v>4.083333333333333</v>
      </c>
      <c r="Q4" s="26" t="s">
        <v>71</v>
      </c>
      <c r="R4" s="24">
        <f t="shared" si="3"/>
        <v>3.6666666666666665</v>
      </c>
      <c r="T4" s="26" t="s">
        <v>1408</v>
      </c>
      <c r="U4" s="24">
        <f t="shared" si="4"/>
        <v>2.8333333333333335</v>
      </c>
    </row>
    <row r="5" spans="1:21">
      <c r="A5" s="1" t="s">
        <v>108</v>
      </c>
      <c r="B5" t="str">
        <f>VLOOKUP(A5,Sectors!$A$2:$B$51,2, FALSE)</f>
        <v>Chemical</v>
      </c>
      <c r="C5" s="98">
        <f>'BASF SE'!$B$2</f>
        <v>7.583333333333333</v>
      </c>
      <c r="E5" t="s">
        <v>1625</v>
      </c>
      <c r="F5" s="98">
        <f>AVERAGEIF($B$2:$B$51,$E5,$C$2:$C$51)</f>
        <v>5.0250000000000004</v>
      </c>
      <c r="H5" s="26" t="s">
        <v>112</v>
      </c>
      <c r="I5" s="24">
        <f t="shared" si="0"/>
        <v>5.75</v>
      </c>
      <c r="K5" s="26" t="s">
        <v>191</v>
      </c>
      <c r="L5" s="24">
        <f t="shared" si="1"/>
        <v>4.916666666666667</v>
      </c>
      <c r="N5" s="26" t="s">
        <v>45</v>
      </c>
      <c r="O5" s="24">
        <f t="shared" si="2"/>
        <v>4.5</v>
      </c>
      <c r="Q5" s="26" t="s">
        <v>61</v>
      </c>
      <c r="R5" s="24">
        <f t="shared" si="3"/>
        <v>4.083333333333333</v>
      </c>
      <c r="T5" s="26" t="s">
        <v>53</v>
      </c>
      <c r="U5" s="24">
        <f t="shared" si="4"/>
        <v>3.25</v>
      </c>
    </row>
    <row r="6" spans="1:21">
      <c r="A6" s="1" t="s">
        <v>87</v>
      </c>
      <c r="B6" t="str">
        <f>VLOOKUP(A6,Sectors!$A$2:$B$51,2, FALSE)</f>
        <v>Chemical</v>
      </c>
      <c r="C6" s="98">
        <f>'Bayer AG'!$B$2</f>
        <v>6.166666666666667</v>
      </c>
      <c r="E6" t="s">
        <v>1626</v>
      </c>
      <c r="F6" s="98">
        <f>AVERAGEIF($B$2:$B$51,$E6,$C$2:$C$51)</f>
        <v>4.6416666666666666</v>
      </c>
      <c r="H6" s="26" t="s">
        <v>1618</v>
      </c>
      <c r="I6" s="24">
        <f t="shared" si="0"/>
        <v>5.75</v>
      </c>
      <c r="K6" s="26" t="s">
        <v>1405</v>
      </c>
      <c r="L6" s="24">
        <f t="shared" si="1"/>
        <v>5.333333333333333</v>
      </c>
      <c r="N6" s="26" t="s">
        <v>194</v>
      </c>
      <c r="O6" s="24">
        <f t="shared" si="2"/>
        <v>4.5</v>
      </c>
      <c r="Q6" s="26" t="s">
        <v>83</v>
      </c>
      <c r="R6" s="24">
        <f t="shared" si="3"/>
        <v>4.916666666666667</v>
      </c>
      <c r="T6" s="26" t="s">
        <v>33</v>
      </c>
      <c r="U6" s="24">
        <f t="shared" si="4"/>
        <v>3.6666666666666665</v>
      </c>
    </row>
    <row r="7" spans="1:21">
      <c r="A7" s="1" t="s">
        <v>92</v>
      </c>
      <c r="B7" t="str">
        <f>VLOOKUP(A7,Sectors!$A$2:$B$51,2, FALSE)</f>
        <v>Automotive</v>
      </c>
      <c r="C7" s="98">
        <f>'BMW AG'!$B$2</f>
        <v>6.25</v>
      </c>
      <c r="E7" t="s">
        <v>1627</v>
      </c>
      <c r="F7" s="98">
        <f>AVERAGEIF($B$2:$B$51,$E7,$C$2:$C$51)</f>
        <v>3.9750000000000005</v>
      </c>
      <c r="H7" s="26" t="s">
        <v>138</v>
      </c>
      <c r="I7" s="24">
        <f t="shared" si="0"/>
        <v>5.75</v>
      </c>
      <c r="K7" s="26" t="s">
        <v>135</v>
      </c>
      <c r="L7" s="24">
        <f t="shared" si="1"/>
        <v>5.75</v>
      </c>
      <c r="N7" s="26" t="s">
        <v>172</v>
      </c>
      <c r="O7" s="24">
        <f t="shared" si="2"/>
        <v>5.333333333333333</v>
      </c>
      <c r="Q7" s="26" t="s">
        <v>29</v>
      </c>
      <c r="R7" s="24">
        <f t="shared" si="3"/>
        <v>4.916666666666667</v>
      </c>
      <c r="T7" s="26" t="s">
        <v>79</v>
      </c>
      <c r="U7" s="24">
        <f t="shared" si="4"/>
        <v>4.083333333333333</v>
      </c>
    </row>
    <row r="8" spans="1:21">
      <c r="A8" s="1" t="s">
        <v>201</v>
      </c>
      <c r="B8" t="str">
        <f>VLOOKUP(A8,Sectors!$A$2:$B$51,2, FALSE)</f>
        <v>Chemical</v>
      </c>
      <c r="C8" s="98">
        <f>'Boehringer Ingelheim GmbH'!$B$2</f>
        <v>4.083333333333333</v>
      </c>
      <c r="H8" s="26" t="s">
        <v>118</v>
      </c>
      <c r="I8" s="24">
        <f t="shared" si="0"/>
        <v>6.166666666666667</v>
      </c>
      <c r="K8" s="26" t="s">
        <v>197</v>
      </c>
      <c r="L8" s="24">
        <f t="shared" si="1"/>
        <v>5.75</v>
      </c>
      <c r="N8" s="26" t="s">
        <v>87</v>
      </c>
      <c r="O8" s="24">
        <f t="shared" si="2"/>
        <v>6.166666666666667</v>
      </c>
      <c r="Q8" s="26" t="s">
        <v>57</v>
      </c>
      <c r="R8" s="24">
        <f t="shared" si="3"/>
        <v>5.333333333333333</v>
      </c>
      <c r="T8" s="26" t="s">
        <v>74</v>
      </c>
      <c r="U8" s="24">
        <f t="shared" si="4"/>
        <v>5.333333333333333</v>
      </c>
    </row>
    <row r="9" spans="1:21">
      <c r="A9" s="1" t="s">
        <v>126</v>
      </c>
      <c r="B9" t="str">
        <f>VLOOKUP(A9,Sectors!$A$2:$B$51,2, FALSE)</f>
        <v>Automotive</v>
      </c>
      <c r="C9" s="98">
        <f>'Continental AG'!$B$2</f>
        <v>4.5</v>
      </c>
      <c r="H9" s="26" t="s">
        <v>1623</v>
      </c>
      <c r="I9" s="24">
        <f t="shared" si="0"/>
        <v>6.166666666666667</v>
      </c>
      <c r="K9" s="26" t="s">
        <v>145</v>
      </c>
      <c r="L9" s="24">
        <f t="shared" si="1"/>
        <v>5.75</v>
      </c>
      <c r="N9" s="26" t="s">
        <v>49</v>
      </c>
      <c r="O9" s="24">
        <f t="shared" si="2"/>
        <v>6.25</v>
      </c>
      <c r="Q9" s="26" t="s">
        <v>14</v>
      </c>
      <c r="R9" s="24">
        <f t="shared" si="3"/>
        <v>5.333333333333333</v>
      </c>
      <c r="T9" s="26" t="s">
        <v>208</v>
      </c>
      <c r="U9" s="24">
        <f t="shared" si="4"/>
        <v>6.166666666666667</v>
      </c>
    </row>
    <row r="10" spans="1:21">
      <c r="A10" s="1" t="s">
        <v>164</v>
      </c>
      <c r="B10" t="str">
        <f>VLOOKUP(A10,Sectors!$A$2:$B$51,2, FALSE)</f>
        <v>Chemical</v>
      </c>
      <c r="C10" s="98">
        <f>Covestro!$B$2</f>
        <v>3.25</v>
      </c>
      <c r="H10" s="1" t="s">
        <v>102</v>
      </c>
      <c r="I10" s="24">
        <f t="shared" si="0"/>
        <v>6.166666666666667</v>
      </c>
      <c r="K10" s="26" t="s">
        <v>65</v>
      </c>
      <c r="L10" s="24">
        <f t="shared" si="1"/>
        <v>5.916666666666667</v>
      </c>
      <c r="N10" s="26" t="s">
        <v>24</v>
      </c>
      <c r="O10" s="24">
        <f t="shared" si="2"/>
        <v>6.166666666666667</v>
      </c>
      <c r="Q10" s="26" t="s">
        <v>20</v>
      </c>
      <c r="R10" s="24">
        <f t="shared" si="3"/>
        <v>6.166666666666667</v>
      </c>
      <c r="T10" s="26" t="s">
        <v>123</v>
      </c>
      <c r="U10" s="24">
        <f t="shared" si="4"/>
        <v>5.333333333333333</v>
      </c>
    </row>
    <row r="11" spans="1:21">
      <c r="A11" s="3" t="s">
        <v>191</v>
      </c>
      <c r="B11" t="str">
        <f>VLOOKUP(A11,Sectors!$A$2:$B$51,2, FALSE)</f>
        <v>Mechanical engineering</v>
      </c>
      <c r="C11" s="98">
        <f>'D√ºrr Group'!$B$2</f>
        <v>4.916666666666667</v>
      </c>
      <c r="H11" s="26" t="s">
        <v>92</v>
      </c>
      <c r="I11" s="24">
        <f t="shared" si="0"/>
        <v>6.25</v>
      </c>
      <c r="K11" s="26" t="s">
        <v>148</v>
      </c>
      <c r="L11" s="24">
        <f t="shared" si="1"/>
        <v>6.583333333333333</v>
      </c>
      <c r="N11" s="26" t="s">
        <v>108</v>
      </c>
      <c r="O11" s="24">
        <f t="shared" si="2"/>
        <v>7.583333333333333</v>
      </c>
      <c r="Q11" s="26" t="s">
        <v>177</v>
      </c>
      <c r="R11" s="24">
        <f t="shared" si="3"/>
        <v>6.333333333333333</v>
      </c>
      <c r="T11" s="26" t="s">
        <v>38</v>
      </c>
      <c r="U11" s="24">
        <f t="shared" si="4"/>
        <v>7.083333333333333</v>
      </c>
    </row>
    <row r="12" spans="1:21">
      <c r="A12" s="1" t="s">
        <v>118</v>
      </c>
      <c r="B12" t="str">
        <f>VLOOKUP(A12,Sectors!$A$2:$B$51,2, FALSE)</f>
        <v>Automotive</v>
      </c>
      <c r="C12" s="98">
        <f>'Daimler Truck AG'!$B$2</f>
        <v>6.166666666666667</v>
      </c>
      <c r="H12" s="31" t="s">
        <v>1629</v>
      </c>
      <c r="I12" s="32">
        <f>AVERAGE(I2:I11)</f>
        <v>5.5499999999999989</v>
      </c>
      <c r="K12" s="31" t="s">
        <v>1629</v>
      </c>
      <c r="L12" s="32">
        <f>AVERAGE(L2:L11)</f>
        <v>5.3583333333333325</v>
      </c>
      <c r="N12" s="31" t="s">
        <v>1629</v>
      </c>
      <c r="O12" s="32">
        <f>AVERAGE(O2:O11)</f>
        <v>5.0250000000000004</v>
      </c>
      <c r="Q12" s="31" t="s">
        <v>1629</v>
      </c>
      <c r="R12" s="32">
        <f>AVERAGE(R2:R11)</f>
        <v>4.6416666666666666</v>
      </c>
      <c r="T12" s="31" t="s">
        <v>1629</v>
      </c>
      <c r="U12" s="32">
        <f>AVERAGE(U2:U11)</f>
        <v>3.9750000000000001</v>
      </c>
    </row>
    <row r="13" spans="1:21">
      <c r="A13" s="1" t="s">
        <v>197</v>
      </c>
      <c r="B13" t="str">
        <f>VLOOKUP(A13,Sectors!$A$2:$B$51,2, FALSE)</f>
        <v>Mechanical engineering</v>
      </c>
      <c r="C13" s="98">
        <f>'Deere &amp; Co'!$B$2</f>
        <v>5.75</v>
      </c>
    </row>
    <row r="14" spans="1:21">
      <c r="A14" s="1" t="s">
        <v>53</v>
      </c>
      <c r="B14" t="str">
        <f>VLOOKUP(A14,Sectors!$A$2:$B$51,2, FALSE)</f>
        <v>Military and defense</v>
      </c>
      <c r="C14" s="98">
        <f>'Diehl Stiftung &amp; Co. KG'!$B$2</f>
        <v>3.25</v>
      </c>
    </row>
    <row r="15" spans="1:21">
      <c r="A15" s="1" t="s">
        <v>57</v>
      </c>
      <c r="B15" t="str">
        <f>VLOOKUP(A15,Sectors!$A$2:$B$51,2, FALSE)</f>
        <v>Electrical</v>
      </c>
      <c r="C15" s="98">
        <f>'E.ON SE'!$B$2</f>
        <v>5.333333333333333</v>
      </c>
    </row>
    <row r="16" spans="1:21">
      <c r="A16" s="1" t="s">
        <v>177</v>
      </c>
      <c r="B16" t="str">
        <f>VLOOKUP(A16,Sectors!$A$2:$B$51,2, FALSE)</f>
        <v>Electrical</v>
      </c>
      <c r="C16" s="98">
        <f>'EnBW-Energie Baden-Wuerttemberg'!$B$2</f>
        <v>6.333333333333333</v>
      </c>
    </row>
    <row r="17" spans="1:3">
      <c r="A17" s="1" t="s">
        <v>1405</v>
      </c>
      <c r="B17" t="str">
        <f>VLOOKUP(A17,Sectors!$A$2:$B$51,2, FALSE)</f>
        <v>Mechanical engineering</v>
      </c>
      <c r="C17" s="98">
        <f>'Enercon GmbH'!$B$2</f>
        <v>5.333333333333333</v>
      </c>
    </row>
    <row r="18" spans="1:3">
      <c r="A18" s="1" t="s">
        <v>45</v>
      </c>
      <c r="B18" t="str">
        <f>VLOOKUP(A18,Sectors!$A$2:$B$51,2, FALSE)</f>
        <v>Chemical</v>
      </c>
      <c r="C18" s="98">
        <f>Evonik!$B$2</f>
        <v>4.5</v>
      </c>
    </row>
    <row r="19" spans="1:3">
      <c r="A19" s="1" t="s">
        <v>135</v>
      </c>
      <c r="B19" t="str">
        <f>VLOOKUP(A19,Sectors!$A$2:$B$51,2, FALSE)</f>
        <v>Mechanical engineering</v>
      </c>
      <c r="C19" s="98">
        <f>'GEA Group'!$B$2</f>
        <v>5.75</v>
      </c>
    </row>
    <row r="20" spans="1:3">
      <c r="A20" s="1" t="s">
        <v>29</v>
      </c>
      <c r="B20" t="str">
        <f>VLOOKUP(A20,Sectors!$A$2:$B$51,2, FALSE)</f>
        <v>Electrical</v>
      </c>
      <c r="C20" s="98">
        <f>Gelsenwasser!$B$2</f>
        <v>4.916666666666667</v>
      </c>
    </row>
    <row r="21" spans="1:3">
      <c r="A21" s="1" t="s">
        <v>1412</v>
      </c>
      <c r="B21" t="str">
        <f>VLOOKUP(A21,Sectors!$A$2:$B$51,2, FALSE)</f>
        <v>Military and defense</v>
      </c>
      <c r="C21" s="98">
        <f>'Heckler &amp; Koch AG'!$B$2</f>
        <v>2</v>
      </c>
    </row>
    <row r="22" spans="1:3">
      <c r="A22" s="1" t="s">
        <v>187</v>
      </c>
      <c r="B22" t="str">
        <f>VLOOKUP(A22,Sectors!$A$2:$B$51,2, FALSE)</f>
        <v>Automotive</v>
      </c>
      <c r="C22" s="98">
        <f>'HELLA GMBH &amp; CO. KGAA'!$B$2</f>
        <v>6.166666666666667</v>
      </c>
    </row>
    <row r="23" spans="1:3">
      <c r="A23" s="1" t="s">
        <v>132</v>
      </c>
      <c r="B23" t="str">
        <f>VLOOKUP(A23,Sectors!$A$2:$B$51,2, FALSE)</f>
        <v>Chemical</v>
      </c>
      <c r="C23" s="98">
        <f>'Helm AG'!$B$2</f>
        <v>2.4166666666666665</v>
      </c>
    </row>
    <row r="24" spans="1:3">
      <c r="A24" s="1" t="s">
        <v>172</v>
      </c>
      <c r="B24" t="str">
        <f>VLOOKUP(A24,Sectors!$A$2:$B$51,2, FALSE)</f>
        <v>Chemical</v>
      </c>
      <c r="C24" s="98">
        <f>'Henkel AG &amp; Co. KGaA'!$B$2</f>
        <v>5.333333333333333</v>
      </c>
    </row>
    <row r="25" spans="1:3">
      <c r="A25" s="1" t="s">
        <v>208</v>
      </c>
      <c r="B25" t="str">
        <f>VLOOKUP(A25,Sectors!$A$2:$B$51,2, FALSE)</f>
        <v>Military and defense</v>
      </c>
      <c r="C25" s="98">
        <f>'Hensoldt AG'!$B$2</f>
        <v>6.166666666666667</v>
      </c>
    </row>
    <row r="26" spans="1:3">
      <c r="A26" s="1" t="s">
        <v>123</v>
      </c>
      <c r="B26" t="str">
        <f>VLOOKUP(A26,Sectors!$A$2:$B$51,2, FALSE)</f>
        <v>Military and defense</v>
      </c>
      <c r="C26" s="98">
        <f>'Jenoptik AG'!$B$2</f>
        <v>5.333333333333333</v>
      </c>
    </row>
    <row r="27" spans="1:3">
      <c r="A27" s="1" t="s">
        <v>155</v>
      </c>
      <c r="B27" t="str">
        <f>VLOOKUP(A27,Sectors!$A$2:$B$51,2, FALSE)</f>
        <v>Mechanical engineering</v>
      </c>
      <c r="C27" s="98">
        <f>'Jungheinrich AG'!$B$2</f>
        <v>4.083333333333333</v>
      </c>
    </row>
    <row r="28" spans="1:3">
      <c r="A28" s="1" t="s">
        <v>65</v>
      </c>
      <c r="B28" t="str">
        <f>VLOOKUP(A28,Sectors!$A$2:$B$51,2, FALSE)</f>
        <v>Mechanical engineering</v>
      </c>
      <c r="C28" s="98">
        <f>'KION Group'!$B$2</f>
        <v>5.916666666666667</v>
      </c>
    </row>
    <row r="29" spans="1:3">
      <c r="A29" s="1" t="s">
        <v>42</v>
      </c>
      <c r="B29" t="str">
        <f>VLOOKUP(A29,Sectors!$A$2:$B$51,2, FALSE)</f>
        <v>Military and defense</v>
      </c>
      <c r="C29" s="98">
        <f>'KNDS Group'!$B$2</f>
        <v>0</v>
      </c>
    </row>
    <row r="30" spans="1:3">
      <c r="A30" s="1" t="s">
        <v>168</v>
      </c>
      <c r="B30" t="str">
        <f>VLOOKUP(A30,Sectors!$A$2:$B$51,2, FALSE)</f>
        <v>Mechanical engineering</v>
      </c>
      <c r="C30" s="98">
        <f>'Krones AG'!$B$2</f>
        <v>4.583333333333333</v>
      </c>
    </row>
    <row r="31" spans="1:3">
      <c r="A31" s="1" t="s">
        <v>194</v>
      </c>
      <c r="B31" t="str">
        <f>VLOOKUP(A31,Sectors!$A$2:$B$51,2, FALSE)</f>
        <v>Chemical</v>
      </c>
      <c r="C31" s="98">
        <f>Lanxess!$B$2</f>
        <v>4.5</v>
      </c>
    </row>
    <row r="32" spans="1:3">
      <c r="A32" s="1" t="s">
        <v>33</v>
      </c>
      <c r="B32" t="str">
        <f>VLOOKUP(A32,Sectors!$A$2:$B$51,2, FALSE)</f>
        <v>Military and defense</v>
      </c>
      <c r="C32" s="98">
        <f>Leonardo!$B$2</f>
        <v>3.6666666666666665</v>
      </c>
    </row>
    <row r="33" spans="1:3">
      <c r="A33" s="1" t="s">
        <v>38</v>
      </c>
      <c r="B33" t="str">
        <f>VLOOKUP(A33,Sectors!$A$2:$B$51,2, FALSE)</f>
        <v>Military and defense</v>
      </c>
      <c r="C33" s="98">
        <f>'Lockheed Martin'!$B$2</f>
        <v>7.083333333333333</v>
      </c>
    </row>
    <row r="34" spans="1:3">
      <c r="A34" s="1" t="s">
        <v>142</v>
      </c>
      <c r="B34" t="str">
        <f>VLOOKUP(A34,Sectors!$A$2:$B$51,2, FALSE)</f>
        <v>Automotive</v>
      </c>
      <c r="C34" s="98">
        <f>'Mahle GmbH'!$B$2</f>
        <v>4.916666666666667</v>
      </c>
    </row>
    <row r="35" spans="1:3">
      <c r="A35" s="1" t="s">
        <v>102</v>
      </c>
      <c r="B35" t="str">
        <f>VLOOKUP(A35,Sectors!$A$2:$B$51,2, FALSE)</f>
        <v>Automotive</v>
      </c>
      <c r="C35" s="98">
        <f>'Mercedes-Benz AG'!$B$2</f>
        <v>6.166666666666667</v>
      </c>
    </row>
    <row r="36" spans="1:3">
      <c r="A36" s="1" t="s">
        <v>49</v>
      </c>
      <c r="B36" t="str">
        <f>VLOOKUP(A36,Sectors!$A$2:$B$51,2, FALSE)</f>
        <v>Chemical</v>
      </c>
      <c r="C36" s="98">
        <f>'Merck KGaA'!$B$2</f>
        <v>6.25</v>
      </c>
    </row>
    <row r="37" spans="1:3">
      <c r="A37" s="1" t="s">
        <v>79</v>
      </c>
      <c r="B37" t="str">
        <f>VLOOKUP(A37,Sectors!$A$2:$B$51,2, FALSE)</f>
        <v>Military and defense</v>
      </c>
      <c r="C37" s="98">
        <f>'Rheinmetall AG'!$B$2</f>
        <v>4.083333333333333</v>
      </c>
    </row>
    <row r="38" spans="1:3">
      <c r="A38" s="1" t="s">
        <v>138</v>
      </c>
      <c r="B38" t="str">
        <f>VLOOKUP(A38,Sectors!$A$2:$B$51,2, FALSE)</f>
        <v>Automotive</v>
      </c>
      <c r="C38" s="98">
        <f>'Robert Bosch GmbH'!$B$2</f>
        <v>5.75</v>
      </c>
    </row>
    <row r="39" spans="1:3">
      <c r="A39" s="1" t="s">
        <v>1408</v>
      </c>
      <c r="B39" t="str">
        <f>VLOOKUP(A39,Sectors!$A$2:$B$51,2, FALSE)</f>
        <v>Military and defense</v>
      </c>
      <c r="C39" s="98">
        <f>'RTX Corporation'!$B$2</f>
        <v>2.8333333333333335</v>
      </c>
    </row>
    <row r="40" spans="1:3">
      <c r="A40" s="1" t="s">
        <v>14</v>
      </c>
      <c r="B40" t="str">
        <f>VLOOKUP(A40,Sectors!$A$2:$B$51,2, FALSE)</f>
        <v>Electrical</v>
      </c>
      <c r="C40" s="98">
        <f>'RWE Group'!$B$2</f>
        <v>5.333333333333333</v>
      </c>
    </row>
    <row r="41" spans="1:3">
      <c r="A41" s="3" t="s">
        <v>1618</v>
      </c>
      <c r="B41" t="str">
        <f>VLOOKUP(A41,Sectors!$A$2:$B$51,2, FALSE)</f>
        <v>Automotive</v>
      </c>
      <c r="C41" s="98">
        <f>'Schaeffler Technologies'!$B$2</f>
        <v>5.75</v>
      </c>
    </row>
    <row r="42" spans="1:3">
      <c r="A42" s="1" t="s">
        <v>148</v>
      </c>
      <c r="B42" t="str">
        <f>VLOOKUP(A42,Sectors!$A$2:$B$51,2, FALSE)</f>
        <v>Mechanical engineering</v>
      </c>
      <c r="C42" s="98">
        <f>'Siemens AG'!$B$2</f>
        <v>6.583333333333333</v>
      </c>
    </row>
    <row r="43" spans="1:3">
      <c r="A43" s="1" t="s">
        <v>71</v>
      </c>
      <c r="B43" t="str">
        <f>VLOOKUP(A43,Sectors!$A$2:$B$51,2, FALSE)</f>
        <v>Electrical</v>
      </c>
      <c r="C43" s="98">
        <f>'Siemens Energy AG'!$B$2</f>
        <v>3.6666666666666665</v>
      </c>
    </row>
    <row r="44" spans="1:3">
      <c r="A44" s="1" t="s">
        <v>61</v>
      </c>
      <c r="B44" t="str">
        <f>VLOOKUP(A44,Sectors!$A$2:$B$51,2, FALSE)</f>
        <v>Electrical</v>
      </c>
      <c r="C44" s="98">
        <f>'Stadtwerke Munchen GmbH'!$B$2</f>
        <v>4.083333333333333</v>
      </c>
    </row>
    <row r="45" spans="1:3">
      <c r="A45" s="3" t="s">
        <v>20</v>
      </c>
      <c r="B45" t="str">
        <f>VLOOKUP(A45,Sectors!$A$2:$B$51,2, FALSE)</f>
        <v>Electrical</v>
      </c>
      <c r="C45" s="98">
        <f>'Th√ºga Holding'!$B$2</f>
        <v>6.166666666666667</v>
      </c>
    </row>
    <row r="46" spans="1:3">
      <c r="A46" s="1" t="s">
        <v>129</v>
      </c>
      <c r="B46" t="str">
        <f>VLOOKUP(A46,Sectors!$A$2:$B$51,2, FALSE)</f>
        <v>Mechanical engineering</v>
      </c>
      <c r="C46" s="98">
        <f>'ThyssenKrupp Group'!$B$2</f>
        <v>4.916666666666667</v>
      </c>
    </row>
    <row r="47" spans="1:3">
      <c r="A47" s="1" t="s">
        <v>83</v>
      </c>
      <c r="B47" t="str">
        <f>VLOOKUP(A47,Sectors!$A$2:$B$51,2, FALSE)</f>
        <v>Electrical</v>
      </c>
      <c r="C47" s="98">
        <f>'Uniper SE'!$B$2</f>
        <v>4.916666666666667</v>
      </c>
    </row>
    <row r="48" spans="1:3">
      <c r="A48" s="1" t="s">
        <v>145</v>
      </c>
      <c r="B48" t="str">
        <f>VLOOKUP(A48,Sectors!$A$2:$B$51,2, FALSE)</f>
        <v>Mechanical engineering</v>
      </c>
      <c r="C48" s="98">
        <f>Voith!$B$2</f>
        <v>5.75</v>
      </c>
    </row>
    <row r="49" spans="1:3">
      <c r="A49" s="1" t="s">
        <v>112</v>
      </c>
      <c r="B49" t="str">
        <f>VLOOKUP(A49,Sectors!$A$2:$B$51,2, FALSE)</f>
        <v>Automotive</v>
      </c>
      <c r="C49" s="98">
        <f>'Volkswagen AG'!$B$2</f>
        <v>5.75</v>
      </c>
    </row>
    <row r="50" spans="1:3">
      <c r="A50" s="1" t="s">
        <v>24</v>
      </c>
      <c r="B50" t="str">
        <f>VLOOKUP(A50,Sectors!$A$2:$B$51,2, FALSE)</f>
        <v>Chemical</v>
      </c>
      <c r="C50" s="98">
        <f>'Wacker Chemie'!$B$2</f>
        <v>6.166666666666667</v>
      </c>
    </row>
    <row r="51" spans="1:3">
      <c r="A51" s="1" t="s">
        <v>152</v>
      </c>
      <c r="B51" t="str">
        <f>VLOOKUP(A51,Sectors!$A$2:$B$51,2, FALSE)</f>
        <v>Automotive</v>
      </c>
      <c r="C51" s="98">
        <f>'ZF Friedrichshafen'!$B$2</f>
        <v>4.083333333333333</v>
      </c>
    </row>
  </sheetData>
  <sortState xmlns:xlrd2="http://schemas.microsoft.com/office/spreadsheetml/2017/richdata2" ref="Q2:R11">
    <sortCondition ref="R2:R11"/>
  </sortState>
  <dataConsolidate/>
  <conditionalFormatting sqref="C2:C51">
    <cfRule type="cellIs" dxfId="40" priority="12" operator="lessThanOrEqual">
      <formula>3</formula>
    </cfRule>
    <cfRule type="cellIs" dxfId="39" priority="13" operator="greaterThanOrEqual">
      <formula>7</formula>
    </cfRule>
  </conditionalFormatting>
  <conditionalFormatting sqref="I2:I11">
    <cfRule type="cellIs" dxfId="38" priority="9" operator="lessThanOrEqual">
      <formula>3</formula>
    </cfRule>
    <cfRule type="cellIs" dxfId="37" priority="10" operator="greaterThanOrEqual">
      <formula>7</formula>
    </cfRule>
  </conditionalFormatting>
  <conditionalFormatting sqref="L2:L11">
    <cfRule type="cellIs" dxfId="36" priority="7" operator="lessThanOrEqual">
      <formula>3</formula>
    </cfRule>
    <cfRule type="cellIs" dxfId="35" priority="8" operator="greaterThanOrEqual">
      <formula>7</formula>
    </cfRule>
  </conditionalFormatting>
  <conditionalFormatting sqref="O2:O11">
    <cfRule type="cellIs" dxfId="34" priority="5" operator="lessThanOrEqual">
      <formula>3</formula>
    </cfRule>
    <cfRule type="cellIs" dxfId="33" priority="6" operator="greaterThanOrEqual">
      <formula>7</formula>
    </cfRule>
  </conditionalFormatting>
  <conditionalFormatting sqref="R2:R11">
    <cfRule type="cellIs" dxfId="32" priority="3" operator="lessThanOrEqual">
      <formula>3</formula>
    </cfRule>
    <cfRule type="cellIs" dxfId="31" priority="4" operator="greaterThanOrEqual">
      <formula>7</formula>
    </cfRule>
  </conditionalFormatting>
  <conditionalFormatting sqref="U2:U11">
    <cfRule type="cellIs" dxfId="30" priority="1" operator="lessThanOrEqual">
      <formula>3</formula>
    </cfRule>
    <cfRule type="cellIs" dxfId="29" priority="2" operator="greaterThanOrEqual">
      <formula>7</formula>
    </cfRule>
  </conditionalFormatting>
  <pageMargins left="0.7" right="0.7" top="0.75" bottom="0.75" header="0.3" footer="0.3"/>
  <pageSetup paperSize="9" orientation="portrait" horizontalDpi="0" verticalDpi="0"/>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1BECA-AA79-7444-8D30-D0B9EEDEBEB7}">
  <sheetPr codeName="Sheet17"/>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E.ON SE</v>
      </c>
    </row>
    <row r="2" spans="1:9" ht="23">
      <c r="A2" s="8" t="s">
        <v>1616</v>
      </c>
      <c r="B2" s="18">
        <f>SUM(E5:E16)/12</f>
        <v>5.333333333333333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https://wikirate.org/~21781930</v>
      </c>
      <c r="H5" s="14" t="str">
        <f ca="1">VLOOKUP($A5&amp;$B$1,'Export 3 Oct'!$B$6:$K$851,10, FALSE)</f>
        <v>Also here: https://www.annualreports.com/Company/eon-ag Aureliane[https://wikirate.org/Aureliane].....2025-08-29 15:01:24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https://wikirate.org/~21484751</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https://wikirate.org/~22246475</v>
      </c>
      <c r="H7" s="14" t="str">
        <f ca="1">VLOOKUP($A7&amp;$B$1,'Export 3 Oct'!$B$6:$K$851,10, FALSE)</f>
        <v>https://www.eon.com/en/about-us/sustainability/download-center.html Aureliane[https://wikirate.org/Aureliane].....2025-08-29 15:07:46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https://wikirate.org/~21484751</v>
      </c>
      <c r="H8" s="14"/>
      <c r="I8" s="12"/>
    </row>
    <row r="9" spans="1:9" ht="64">
      <c r="A9" s="13" t="s">
        <v>701</v>
      </c>
      <c r="B9" s="14" t="s">
        <v>1500</v>
      </c>
      <c r="C9" s="14" t="s">
        <v>1518</v>
      </c>
      <c r="D9" s="14" t="str">
        <f ca="1">VLOOKUP($A9&amp;$B$1,'Export 3 Oct'!$B$6:$K$851,5, FALSE)</f>
        <v>Archive with current and historic documents</v>
      </c>
      <c r="E9" s="12">
        <v>10</v>
      </c>
      <c r="F9" s="12"/>
      <c r="G9" s="12" t="str">
        <f ca="1">VLOOKUP($A9&amp;$B$1,'Export 3 Oct'!$B$6:$K$851,6, FALSE)</f>
        <v>https://wikirate.org/~21484751</v>
      </c>
      <c r="H9" s="14" t="str">
        <f ca="1">VLOOKUP($A9&amp;$B$1,'Export 3 Oct'!$B$6:$K$851,10, FALSE)</f>
        <v>They have previous versions of the Human Rights Statement (https://www.eon.com/en/about-us/sustainability/download-center.html) and the Code of Conduct (https://www.eon.com/en/about-us/e-on-procurement/hse-sustainability.html#supplier-code-of-conduct) - but only the 2 past years are available Aureliane[https://wikirate.org/Aureliane].....2025-08-29 15:10:24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https://wikirate.org/~21484751</v>
      </c>
      <c r="H10" s="14" t="str">
        <f ca="1">VLOOKUP($A10&amp;$B$1,'Export 3 Oct'!$B$6:$K$851,10, FALSE)</f>
        <v>On page 27, under ‚ÄúAbout This Report‚Äù, E.ON states: ‚ÄúThis report encompasses all subsidiaries that are fully consolidated in E.ON‚Äôs 2024 Consolidated Financial Statements.‚Äù - The report refers to fully consolidated subsidiaries and segments using only general descriptors like geographic regions. Lena Knie√ü[https://wikirate.org/Lena_Knie√ü].....2025-06-10 09:34:43 UTC</v>
      </c>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https://wikirate.org/~21484751</v>
      </c>
      <c r="H11" s="14" t="str">
        <f ca="1">VLOOKUP($A11&amp;$B$1,'Export 3 Oct'!$B$6:$K$851,10, FALSE)</f>
        <v>p. 28 "The reporting period is the 2024 calendar year. Statements on the future development of E.ON and its subsidiaries are estimates based on information available at the time of reporting" Lucia Ixtacuy[https://wikirate.org/Lucia_Ixtacuy].....2025-07-18 13:04:03 UTC</v>
      </c>
      <c r="I11" s="12"/>
    </row>
    <row r="12" spans="1:9" ht="48">
      <c r="A12" s="13" t="s">
        <v>987</v>
      </c>
      <c r="B12" s="14" t="s">
        <v>1503</v>
      </c>
      <c r="C12" s="14" t="s">
        <v>1517</v>
      </c>
      <c r="D12" s="14" t="str">
        <f ca="1">VLOOKUP($A12&amp;$B$1,'Export 3 Oct'!$B$6:$K$851,5, FALSE)</f>
        <v>Yes</v>
      </c>
      <c r="E12" s="12">
        <v>10</v>
      </c>
      <c r="F12" s="12"/>
      <c r="G12" s="12" t="str">
        <f ca="1">VLOOKUP($A12&amp;$B$1,'Export 3 Oct'!$B$6:$K$851,6, FALSE)</f>
        <v>https://wikirate.org/~21484751</v>
      </c>
      <c r="H12" s="14" t="str">
        <f ca="1">VLOOKUP($A12&amp;$B$1,'Export 3 Oct'!$B$6:$K$851,10, FALSE)</f>
        <v>NB, the PDF viewer starts the page count on "2" despite being on page 1 Thomas Howie[https://wikirate.org/Thomas_Howie].....2025-08-19 12:33:51 UTC The page numbers match for me. Aureliane[https://wikirate.org/Aureliane].....2025-08-29 15:15:23 UTC</v>
      </c>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https://wikirate.org/~21484751</v>
      </c>
      <c r="H13" s="14" t="str">
        <f ca="1">VLOOKUP($A13&amp;$B$1,'Export 3 Oct'!$B$6:$K$851,10, FALSE)</f>
        <v>p27 "The Sustainability Statement was prepared to meet the requirements of Directive (EU) 2022/2464 of the European Parliament and of the Council of December 14, 2022 (Corporate Social Responsibility Directive, ‚ÄúCSRD‚Äù)" p43 "In line with ESRS E1 requirements, E.ON calculates its emissions using the globally recognized WRI/WBCSD Greenhouse Gas Protocol Corporate Accounting and Reporting Standard (‚ÄúGHG Protocol‚Äù)" Thomas Howie[https://wikirate.org/Thomas_Howie].....2025-08-19 12:41:41 UTC p. 230: SDG Index (not a standard) p. 224: reporting according to TCFD (not a standard) Aureliane[https://wikirate.org/Aureliane].....2025-08-29 15:16:53 UTC CDP: it is not clear to me whether they have used data from CDP in the report. p. 41: E.ON has reported data on carbon emissions and climate action to CDP since 2004. CDP, a global non-profit organization that operates the world‚Äôs leading environmental disclosure platform, recognizes E.ON as a pacesetter in climate protection and transparency. Aureliane[https://wikirat...</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https://wikirate.org/~21484751</v>
      </c>
      <c r="H14" s="14" t="str">
        <f ca="1">VLOOKUP($A14&amp;$B$1,'Export 3 Oct'!$B$6:$K$851,10, FALSE)</f>
        <v>Page 28 Lena Knie√ü[https://wikirate.org/Lena_Knie√ü].....2025-06-10 09:43:15 UTC p. 225 p. 37 "The Index to the Sustainability Statement in the Appendix to the Sustainability Statement contains a comprehensive overview of all ESRS disclosure requirements relevant to E.ON. The appendix also provides a list of all data points resulting from EU legislation listed in ESRS 2 A ppendix B" Lucia Ixtacuy[https://wikirate.org/Lucia_Ixtacuy].....2025-07-18 13:24:16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https://wikirate.org/~21484751</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https://wikirate.org/~21484751</v>
      </c>
      <c r="H16" s="14"/>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https://wikirate.org/~21484751</v>
      </c>
      <c r="H18" s="14" t="str">
        <f ca="1">VLOOKUP($A18&amp;$B$1,'Export 3 Oct'!$B$6:$K$851,10, FALSE)</f>
        <v>p32 "E.ON has conducted an annual materiality analysis since 2006. It did so in 2024 for the first time in accordance with ESRS requirements." Thomas Howie[https://wikirate.org/Thomas_Howie].....2025-08-19 12:44:47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https://wikirate.org/~21484751</v>
      </c>
      <c r="H19" s="14"/>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https://wikirate.org/~21484751</v>
      </c>
      <c r="H20" s="14" t="str">
        <f ca="1">VLOOKUP($A20&amp;$B$1,'Export 3 Oct'!$B$6:$K$851,10, FALSE)</f>
        <v>p.217 Aureliane[https://wikirate.org/Aureliane].....2025-08-29 15:24:02 UTC</v>
      </c>
      <c r="I20" s="12"/>
    </row>
    <row r="21" spans="1:9" ht="80">
      <c r="A21" s="13" t="s">
        <v>13</v>
      </c>
      <c r="B21" s="14" t="s">
        <v>1511</v>
      </c>
      <c r="C21" s="12" t="s">
        <v>1523</v>
      </c>
      <c r="D21" s="14" t="str">
        <f ca="1">VLOOKUP($A21&amp;$B$1,'Export 3 Oct'!$B$6:$K$851,5, FALSE)</f>
        <v>Yes</v>
      </c>
      <c r="E21" s="12" t="s">
        <v>1515</v>
      </c>
      <c r="F21" s="12"/>
      <c r="G21" s="12" t="str">
        <f ca="1">VLOOKUP($A21&amp;$B$1,'Export 3 Oct'!$B$6:$K$851,6, FALSE)</f>
        <v>https://wikirate.org/~21484751</v>
      </c>
      <c r="H21" s="14" t="str">
        <f ca="1">VLOOKUP($A21&amp;$B$1,'Export 3 Oct'!$B$6:$K$851,10, FALSE)</f>
        <v>p74 "Depending on the transaction volume and HSE risk, suppliers must complete additional steps, such as answering one or more questionnaires or completing a supplier audit to check whether the supplier complies with E.ON‚Äôs standards for human rights, working conditions, and environmental protection." Thomas Howie[https://wikirate.org/Thomas_Howie].....2025-08-19 12:48:01 UTC</v>
      </c>
      <c r="I21" s="12"/>
    </row>
    <row r="26" spans="1:9">
      <c r="A26" s="39" t="s">
        <v>1634</v>
      </c>
    </row>
    <row r="27" spans="1:9">
      <c r="A27" s="38" t="s">
        <v>1630</v>
      </c>
      <c r="B27" s="40">
        <f>AVERAGE($E$5,$E$6,$E$7)</f>
        <v>6.333333333333333</v>
      </c>
    </row>
    <row r="28" spans="1:9">
      <c r="A28" s="38" t="s">
        <v>1631</v>
      </c>
      <c r="B28" s="40">
        <f>AVERAGE($E$8,$E$9)</f>
        <v>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D07E5-435A-D14F-914F-BFB6CC966260}">
  <sheetPr codeName="Sheet18"/>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EnBW-Energie Baden-Wuerttemberg</v>
      </c>
    </row>
    <row r="2" spans="1:9" ht="23">
      <c r="A2" s="8" t="s">
        <v>1616</v>
      </c>
      <c r="B2" s="18">
        <f>SUM(E5:E16)/12</f>
        <v>6.333333333333333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https://wikirate.org/~22218120</v>
      </c>
      <c r="H5" s="14" t="str">
        <f ca="1">VLOOKUP($A5&amp;$B$1,'Export 3 Oct'!$B$6:$K$851,10, FALSE)</f>
        <v>https://www.enbw.com/annual-report-2024/ Yohann[https://wikirate.org/Yohann].....2025-08-14 10:22:35 UTC</v>
      </c>
      <c r="I5" s="12"/>
    </row>
    <row r="6" spans="1:9" ht="112">
      <c r="A6" s="13" t="s">
        <v>242</v>
      </c>
      <c r="B6" s="14" t="s">
        <v>1497</v>
      </c>
      <c r="C6" s="14" t="s">
        <v>1525</v>
      </c>
      <c r="D6" s="14" t="str">
        <f ca="1">VLOOKUP($A6&amp;$B$1,'Export 3 Oct'!$B$6:$K$851,5, FALSE)</f>
        <v>PDF (text based), Spreadsheet</v>
      </c>
      <c r="E6" s="12">
        <v>6</v>
      </c>
      <c r="F6" s="12"/>
      <c r="G6" s="12" t="str">
        <f ca="1">VLOOKUP($A6&amp;$B$1,'Export 3 Oct'!$B$6:$K$851,6, FALSE)</f>
        <v>https://wikirate.org/~22218120</v>
      </c>
      <c r="H6" s="14" t="str">
        <f ca="1">VLOOKUP($A6&amp;$B$1,'Export 3 Oct'!$B$6:$K$851,10, FALSE)</f>
        <v>https://www.enbw.com/annual-report-2024/ Yohann[https://wikirate.org/Yohann].....2025-08-14 10:24:24 UTC You can also download "All KPIs" in a spreadsheet. Laureen van Breen[https://wikirate.org/Laureen_van_Breen].....2025-09-21 19:18:20 UTC</v>
      </c>
      <c r="I6" s="12"/>
    </row>
    <row r="7" spans="1:9" ht="64">
      <c r="A7" s="13" t="s">
        <v>901</v>
      </c>
      <c r="B7" s="14" t="s">
        <v>1498</v>
      </c>
      <c r="C7" s="14" t="s">
        <v>1517</v>
      </c>
      <c r="D7" s="14" t="str">
        <f ca="1">VLOOKUP($A7&amp;$B$1,'Export 3 Oct'!$B$6:$K$851,5, FALSE)</f>
        <v>Yes</v>
      </c>
      <c r="E7" s="12">
        <v>10</v>
      </c>
      <c r="F7" s="12"/>
      <c r="G7" s="12" t="str">
        <f ca="1">VLOOKUP($A7&amp;$B$1,'Export 3 Oct'!$B$6:$K$851,6, FALSE)</f>
        <v>https://wikirate.org/~22218138</v>
      </c>
      <c r="H7" s="14" t="str">
        <f ca="1">VLOOKUP($A7&amp;$B$1,'Export 3 Oct'!$B$6:$K$851,10, FALSE)</f>
        <v>https://www.enbw.com/company/downloadcenter/search-results-downloadcenter.html?s=Annual%20Report&amp;tab=Downloads&amp;entries=5 Yohann[https://wikirate.org/Yohann].....2025-08-14 10:28:04 UTC Archive of "integrated annual reports" Aureliane[https://wikirate.org/Aureliane].....2025-08-27 12:56:31 UTC</v>
      </c>
      <c r="I7" s="12"/>
    </row>
    <row r="8" spans="1:9" ht="64">
      <c r="A8" s="13" t="s">
        <v>629</v>
      </c>
      <c r="B8" s="14" t="s">
        <v>1499</v>
      </c>
      <c r="C8" s="14" t="s">
        <v>1517</v>
      </c>
      <c r="D8" s="14" t="str">
        <f ca="1">VLOOKUP($A8&amp;$B$1,'Export 3 Oct'!$B$6:$K$851,5, FALSE)</f>
        <v>Yes</v>
      </c>
      <c r="E8" s="12">
        <v>10</v>
      </c>
      <c r="F8" s="12"/>
      <c r="G8" s="12" t="str">
        <f ca="1">VLOOKUP($A8&amp;$B$1,'Export 3 Oct'!$B$6:$K$851,6, FALSE)</f>
        <v>https://wikirate.org/~21496023</v>
      </c>
      <c r="H8" s="14" t="str">
        <f ca="1">VLOOKUP($A8&amp;$B$1,'Export 3 Oct'!$B$6:$K$851,10, FALSE)</f>
        <v>p. 4 on the left indicate that there are marks for links an ex p. 43 "declaration of compliance" Yohann[https://wikirate.org/Yohann].....2025-08-14 10:31:02 UTC p.45 and 48: links to Code of Conduct, Report under Supply Chain Act, and other documents. No link to Human Rights Policy. Aureliane[https://wikirate.org/Aureliane].....2025-08-27 13:00:53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https://wikirate.org/~22218156</v>
      </c>
      <c r="H9" s="14" t="str">
        <f ca="1">VLOOKUP($A9&amp;$B$1,'Export 3 Oct'!$B$6:$K$851,10, FALSE)</f>
        <v>Download center does not provide docs such as "code of conduct" have to go to this link: https://www.enbw.com/sustainability/sustainability-management/esg-policies.html Yohann[https://wikirate.org/Yohann].....2025-08-14 10:34:55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https://wikirate.org/~21496023</v>
      </c>
      <c r="H10" s="14" t="str">
        <f ca="1">VLOOKUP($A10&amp;$B$1,'Export 3 Oct'!$B$6:$K$851,10, FALSE)</f>
        <v>The sustainability statement refers to p.263, where the registration number is indicated. p.263 "The registered office of the company is in Karlsruhe, Germany. The address is EnBW Energie Baden-W√ºrttemberg AG, Durlacher Allee 93, 76131 Karlsruhe. It is entered at the District Court of Mannheim under HRB no. 107956" Aureliane[https://wikirate.org/Aureliane].....2025-08-27 13:03:55 UTC</v>
      </c>
      <c r="I10" s="12"/>
    </row>
    <row r="11" spans="1:9" ht="80">
      <c r="A11" s="13" t="s">
        <v>412</v>
      </c>
      <c r="B11" s="14" t="s">
        <v>1502</v>
      </c>
      <c r="C11" s="14" t="s">
        <v>1517</v>
      </c>
      <c r="D11" s="14" t="str">
        <f ca="1">VLOOKUP($A11&amp;$B$1,'Export 3 Oct'!$B$6:$K$851,5, FALSE)</f>
        <v>Yes</v>
      </c>
      <c r="E11" s="12">
        <v>10</v>
      </c>
      <c r="F11" s="12"/>
      <c r="G11" s="12" t="str">
        <f ca="1">VLOOKUP($A11&amp;$B$1,'Export 3 Oct'!$B$6:$K$851,6, FALSE)</f>
        <v>https://wikirate.org/~21496023</v>
      </c>
      <c r="H11" s="14" t="str">
        <f ca="1">VLOOKUP($A11&amp;$B$1,'Export 3 Oct'!$B$6:$K$851,10, FALSE)</f>
        <v>"We have conducted a limited assurance engagement on the Group Sustainability Statement as included in section ‚ÄúSustainability Statement‚Äù of the combined management report, of EnBW Energie Baden-W√ºrttemberg AG, Karlsruhe, (hereinafter referred to as ‚Äúthe Company‚Äù) for the financial year from January 1, 2024 to December 31, 2024," p. 384 Yohann[https://wikirate.org/Yohann].....2025-08-14 10:41:03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https://wikirate.org/~21496023</v>
      </c>
      <c r="H12" s="14" t="str">
        <f ca="1">VLOOKUP($A12&amp;$B$1,'Export 3 Oct'!$B$6:$K$851,10, FALSE)</f>
        <v>Misaligned by 1 page Aureliane[https://wikirate.org/Aureliane].....2025-08-27 13:05:22 UTC</v>
      </c>
      <c r="I12" s="12"/>
    </row>
    <row r="13" spans="1:9" ht="208">
      <c r="A13" s="13" t="s">
        <v>1044</v>
      </c>
      <c r="B13" s="14" t="s">
        <v>1504</v>
      </c>
      <c r="C13" s="14" t="s">
        <v>1520</v>
      </c>
      <c r="D13" s="14" t="str">
        <f ca="1">VLOOKUP($A13&amp;$B$1,'Export 3 Oct'!$B$6:$K$851,5, FALSE)</f>
        <v>CSRD (ESRS), Greenhouse Gas Protocol, National standards, Other</v>
      </c>
      <c r="E13" s="12">
        <v>10</v>
      </c>
      <c r="F13" s="12"/>
      <c r="G13" s="12" t="str">
        <f ca="1">VLOOKUP($A13&amp;$B$1,'Export 3 Oct'!$B$6:$K$851,6, FALSE)</f>
        <v>https://wikirate.org/~21496023</v>
      </c>
      <c r="H13" s="14" t="str">
        <f ca="1">VLOOKUP($A13&amp;$B$1,'Export 3 Oct'!$B$6:$K$851,10, FALSE)</f>
        <v>"We have been publishing an Integrated Annual Report, which combines the traditional contents of a financial report with a sustainability report, since 2014. In the 2024 financial year, we are using the European Sustainability Reporting Standards (ESRS) as a recognized framework for our non- financial declaration." p. 3 "The information about the net assets, financial position and results of operations of the EnBW Group is based on the requirements of the International Financial Reporting Standards (IFRS), and, where applicable, the German Commercial Code (HGB) and German Accounting Standards (GAS)." p. 3 "Furthermore, our reporting is based on the International Integrated Reporting Framework and the recommendations issued by the Task Force on Climate-related Financial Disclosures (TCFD)," p. 3 "Our transition plan contains targets that are valid across the Group. All of EnBW‚Äôs climate targets at a Group level are in line with the goals of the Paris Agreement. These targets are also absolute, relatively pr...</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https://wikirate.org/~21496023</v>
      </c>
      <c r="H14" s="14" t="str">
        <f ca="1">VLOOKUP($A14&amp;$B$1,'Export 3 Oct'!$B$6:$K$851,10, FALSE)</f>
        <v>index pp. 224/226 alongside ex p. 130 Yohann[https://wikirate.org/Yohann].....2025-08-14 10:50:03 UTC "GOV-2 ‚Äì Information provided to and sustainability matters addressed by the undertaking‚Äôs administrative, management and supervisory bodies" Yohann[https://wikirate.org/Yohann].....2025-08-14 10:50:37 UTC Both criteria are indeed met. However, the GOV2 example is too highlevel for the 'alongside disclosure' criteria. A better example is E5-1 p.175 Laureen van Breen[https://wikirate.org/Laureen_van_Breen].....2025-09-21 19:39:48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https://wikirate.org/~21496023</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https://wikirate.org/~21496023</v>
      </c>
      <c r="H16" s="14"/>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https://wikirate.org/~21496023</v>
      </c>
      <c r="H18" s="14" t="str">
        <f ca="1">VLOOKUP($A18&amp;$B$1,'Export 3 Oct'!$B$6:$K$851,10, FALSE)</f>
        <v>"We carried out a double materiality assessment according to ESRS for the first time to identify material themes for our sustainability statement and we identified and evaluated not only our impacts but also risks and opportunities." p. 3 results p. 140 Yohann[https://wikirate.org/Yohann].....2025-08-14 10:56:33 UTC</v>
      </c>
      <c r="I18" s="12"/>
    </row>
    <row r="19" spans="1:9" ht="32">
      <c r="A19" s="13" t="s">
        <v>1280</v>
      </c>
      <c r="B19" s="14" t="s">
        <v>1509</v>
      </c>
      <c r="C19" s="12" t="s">
        <v>1523</v>
      </c>
      <c r="D19" s="14" t="str">
        <f ca="1">VLOOKUP($A19&amp;$B$1,'Export 3 Oct'!$B$6:$K$851,5, FALSE)</f>
        <v>Yes</v>
      </c>
      <c r="E19" s="12" t="s">
        <v>1515</v>
      </c>
      <c r="F19" s="12"/>
      <c r="G19" s="12" t="str">
        <f ca="1">VLOOKUP($A19&amp;$B$1,'Export 3 Oct'!$B$6:$K$851,6, FALSE)</f>
        <v>https://wikirate.org/~21496023</v>
      </c>
      <c r="H19" s="14" t="str">
        <f ca="1">VLOOKUP($A19&amp;$B$1,'Export 3 Oct'!$B$6:$K$851,10, FALSE)</f>
        <v>pp. 55 and 56 "Political donations EnBW made political donations in 2024 totaling ‚Ç¨2.8 million." Yohann[https://wikirate.org/Yohann].....2025-08-14 10:57:54 UTC</v>
      </c>
      <c r="I19" s="12"/>
    </row>
    <row r="20" spans="1:9" ht="176">
      <c r="A20" s="13" t="s">
        <v>814</v>
      </c>
      <c r="B20" s="14" t="s">
        <v>1510</v>
      </c>
      <c r="C20" s="14" t="s">
        <v>1524</v>
      </c>
      <c r="D20" s="14" t="str">
        <f ca="1">VLOOKUP($A20&amp;$B$1,'Export 3 Oct'!$B$6:$K$851,5, FALSE)</f>
        <v>Limited assurance, Reasonable assurance</v>
      </c>
      <c r="E20" s="12" t="s">
        <v>1515</v>
      </c>
      <c r="F20" s="12"/>
      <c r="G20" s="12" t="str">
        <f ca="1">VLOOKUP($A20&amp;$B$1,'Export 3 Oct'!$B$6:$K$851,6, FALSE)</f>
        <v>https://wikirate.org/~21496023</v>
      </c>
      <c r="H20" s="14" t="str">
        <f ca="1">VLOOKUP($A20&amp;$B$1,'Export 3 Oct'!$B$6:$K$851,10, FALSE)</f>
        <v>"Assurance conclusion We have conducted a limited assurance engagement on the Group Sustainability Statement as included in section ‚ÄúSustainability Statement‚Äù of the combined management report, of EnBW Energie Baden-W√ºrttemberg AG, Karlsruhe, (hereinafter referred to as ‚Äúthe Company‚Äù) for the financial year from January 1, 2024 to December 31, 2024," p. 384 Yohann[https://wikirate.org/Yohann].....2025-08-14 10:59:16 UTC "Based on the particular engagement, we have conducted a reasonable assurance engagement on the disclosures in section ‚ÄúEU taxonomy‚Äù in the Group Sustainability Statement. A reasonable assurance engagement on these disclosures fulfils the requirements for a limited assurance engagement and, in accordance with Recital 60 to the CSRD, thereby complies with the requirements of the CSRD relating to assurance of the Group Sustainability Statement." p. 385 Laureen van Breen[https://wikirate.org/Laureen_van_Breen].....2025-09-21 19:45:33 UTC</v>
      </c>
      <c r="I20" s="12"/>
    </row>
    <row r="21" spans="1:9" ht="80">
      <c r="A21" s="13" t="s">
        <v>13</v>
      </c>
      <c r="B21" s="14" t="s">
        <v>1511</v>
      </c>
      <c r="C21" s="12" t="s">
        <v>1523</v>
      </c>
      <c r="D21" s="14" t="str">
        <f ca="1">VLOOKUP($A21&amp;$B$1,'Export 3 Oct'!$B$6:$K$851,5, FALSE)</f>
        <v>Yes</v>
      </c>
      <c r="E21" s="12" t="s">
        <v>1515</v>
      </c>
      <c r="F21" s="12"/>
      <c r="G21" s="12" t="str">
        <f ca="1">VLOOKUP($A21&amp;$B$1,'Export 3 Oct'!$B$6:$K$851,6, FALSE)</f>
        <v>https://wikirate.org/~21496023</v>
      </c>
      <c r="H21" s="14" t="str">
        <f ca="1">VLOOKUP($A21&amp;$B$1,'Export 3 Oct'!$B$6:$K$851,10, FALSE)</f>
        <v>"We engage directly with workers during on-site visits and audits." p. 205 Yohann[https://wikirate.org/Yohann].....2025-08-14 11:00:43 UTC p.207 "This includes improving the working conditions at suppliers, promoting occupational safety by monitoring accident rates in the value chain and using evaluations of supplier audits to improve transparency." Aureliane[https://wikirate.org/Aureliane].....2025-08-27 13:24:52 UTC</v>
      </c>
      <c r="I21" s="12"/>
    </row>
    <row r="26" spans="1:9">
      <c r="A26" s="39" t="s">
        <v>1634</v>
      </c>
    </row>
    <row r="27" spans="1:9">
      <c r="A27" s="38" t="s">
        <v>1630</v>
      </c>
      <c r="B27" s="40">
        <f>AVERAGE($E$5,$E$6,$E$7)</f>
        <v>7</v>
      </c>
    </row>
    <row r="28" spans="1:9">
      <c r="A28" s="38" t="s">
        <v>1631</v>
      </c>
      <c r="B28" s="40">
        <f>AVERAGE($E$8,$E$9)</f>
        <v>7.5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24468-C307-D343-B488-82409626A09A}">
  <sheetPr codeName="Sheet19"/>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Enercon GmbH</v>
      </c>
    </row>
    <row r="2" spans="1:9" ht="23">
      <c r="A2" s="8" t="s">
        <v>1616</v>
      </c>
      <c r="B2" s="18">
        <f>SUM(E5:E16)/12</f>
        <v>5.333333333333333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https://wikirate.org/~22208762</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https://wikirate.org/~21496892</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https://wikirate.org/~22208762</v>
      </c>
      <c r="H7" s="14" t="str">
        <f ca="1">VLOOKUP($A7&amp;$B$1,'Export 3 Oct'!$B$6:$K$851,10, FALSE)</f>
        <v>Does not go very far back though.. Laureen van Breen[https://wikirate.org/Laureen_van_Breen].....2025-08-11 09:25:00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https://wikirate.org/~21496892</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https://wikirate.org/~22208762</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https://wikirate.org/~21496892</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https://wikirate.org/~21496892</v>
      </c>
      <c r="H11" s="14" t="str">
        <f ca="1">VLOOKUP($A11&amp;$B$1,'Export 3 Oct'!$B$6:$K$851,10, FALSE)</f>
        <v>During the reporting period from January to December 2023 (...) p.20 Laureen van Breen[https://wikirate.org/Laureen_van_Breen].....2025-08-11 09:35:36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https://wikirate.org/~21496892</v>
      </c>
      <c r="H12" s="14"/>
      <c r="I12" s="12"/>
    </row>
    <row r="13" spans="1:9" ht="208">
      <c r="A13" s="13" t="s">
        <v>1044</v>
      </c>
      <c r="B13" s="14" t="s">
        <v>1504</v>
      </c>
      <c r="C13" s="14" t="s">
        <v>1520</v>
      </c>
      <c r="D13" s="14" t="str">
        <f ca="1">VLOOKUP($A13&amp;$B$1,'Export 3 Oct'!$B$6:$K$851,5, FALSE)</f>
        <v>GRI Standards</v>
      </c>
      <c r="E13" s="12">
        <v>10</v>
      </c>
      <c r="F13" s="12"/>
      <c r="G13" s="12" t="str">
        <f ca="1">VLOOKUP($A13&amp;$B$1,'Export 3 Oct'!$B$6:$K$851,6, FALSE)</f>
        <v>https://wikirate.org/~21496892</v>
      </c>
      <c r="H13" s="14" t="str">
        <f ca="1">VLOOKUP($A13&amp;$B$1,'Export 3 Oct'!$B$6:$K$851,10, FALSE)</f>
        <v>"This sustainability report is prepared with reference to the GRI Standards 2021. Starting in 2025, ENERCON will adhere to the EU Sustainability Reporting Directive (CSRD), with the drafts of the underlying European Sustainability Reporting Standards (ESRS) already serving as guide for improving transparency." p. 7 Laureen van Breen[https://wikirate.org/Laureen_van_Breen].....2025-08-11 09:45:21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https://wikirate.org/~21496892</v>
      </c>
      <c r="H14" s="14" t="str">
        <f ca="1">VLOOKUP($A14&amp;$B$1,'Export 3 Oct'!$B$6:$K$851,10, FALSE)</f>
        <v>Example of 'alongside disclosure': p. 36 Index: p. 39 Laureen van Breen[https://wikirate.org/Laureen_van_Breen].....2025-08-11 09:48:39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https://wikirate.org/~21496892</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https://wikirate.org/~21496892</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No</v>
      </c>
      <c r="E18" s="12" t="s">
        <v>1515</v>
      </c>
      <c r="F18" s="12"/>
      <c r="G18" s="12" t="str">
        <f ca="1">VLOOKUP($A18&amp;$B$1,'Export 3 Oct'!$B$6:$K$851,6, FALSE)</f>
        <v>https://wikirate.org/~21496892</v>
      </c>
      <c r="H18" s="14" t="str">
        <f ca="1">VLOOKUP($A18&amp;$B$1,'Export 3 Oct'!$B$6:$K$851,10, FALSE)</f>
        <v>"As a result, we were able to confirm the current material topics as a meaningful focus and collect valuable details for the development of our new Sustainability Strategy and Materiality Analysis in line with the EU Corporate Sustainability Reporting Directive (CSRD) in 2024." (p. 13) Sounds like this plan to do a double materiality assessment (as the CSRD requires) for their 2024 reporting. Laureen van Breen[https://wikirate.org/Laureen_van_Breen].....2025-08-11 09:52:27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https://wikirate.org/~21496892</v>
      </c>
      <c r="H19" s="14"/>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https://wikirate.org/~21496892</v>
      </c>
      <c r="H20" s="14"/>
      <c r="I20" s="12"/>
    </row>
    <row r="21" spans="1:9" ht="64">
      <c r="A21" s="13" t="s">
        <v>13</v>
      </c>
      <c r="B21" s="14" t="s">
        <v>1511</v>
      </c>
      <c r="C21" s="12" t="s">
        <v>1523</v>
      </c>
      <c r="D21" s="14" t="str">
        <f ca="1">VLOOKUP($A21&amp;$B$1,'Export 3 Oct'!$B$6:$K$851,5, FALSE)</f>
        <v>Yes</v>
      </c>
      <c r="E21" s="12" t="s">
        <v>1515</v>
      </c>
      <c r="F21" s="12"/>
      <c r="G21" s="12" t="str">
        <f ca="1">VLOOKUP($A21&amp;$B$1,'Export 3 Oct'!$B$6:$K$851,6, FALSE)</f>
        <v>https://wikirate.org/~21496892</v>
      </c>
      <c r="H21" s="14" t="str">
        <f ca="1">VLOOKUP($A21&amp;$B$1,'Export 3 Oct'!$B$6:$K$851,10, FALSE)</f>
        <v>"All our magnet suppliers are required to be rated by EcoVadis and only those who pass audits from our Global Procurement function are approved. " (p. 37) Sounds like only a subset of suppliers is being audited though... Laureen van Breen[https://wikirate.org/Laureen_van_Breen].....2025-08-11 09:55:22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41F9E-3280-4C48-A9EB-0D4A5D325518}">
  <sheetPr codeName="Sheet20"/>
  <dimension ref="A1:I30"/>
  <sheetViews>
    <sheetView topLeftCell="A19"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Evonik</v>
      </c>
    </row>
    <row r="2" spans="1:9" ht="23">
      <c r="A2" s="8" t="s">
        <v>1616</v>
      </c>
      <c r="B2" s="18">
        <f>SUM(E5:E16)/12</f>
        <v>4.5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https://wikirate.org/~22246815</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https://wikirate.org/~21495936</v>
      </c>
      <c r="H6" s="14" t="str">
        <f ca="1">VLOOKUP($A6&amp;$B$1,'Export 3 Oct'!$B$6:$K$851,10, FALSE)</f>
        <v>It should be noted however that it is not possible extract information from this pdf (despite it being text based and having the ability to key word search in the document) using copy/paste. Laureen van Breen[https://wikirate.org/Laureen_van_Breen].....2025-08-20 09:25:13 UTC I can extract information (copy paste). Lucia Ixtacuy[https://wikirate.org/Lucia_Ixtacuy].....2025-09-11 11:47:35 UTC</v>
      </c>
      <c r="I6" s="12"/>
    </row>
    <row r="7" spans="1:9" ht="32">
      <c r="A7" s="13" t="s">
        <v>901</v>
      </c>
      <c r="B7" s="14" t="s">
        <v>1498</v>
      </c>
      <c r="C7" s="14" t="s">
        <v>1517</v>
      </c>
      <c r="D7" s="14" t="str">
        <f ca="1">VLOOKUP($A7&amp;$B$1,'Export 3 Oct'!$B$6:$K$851,5, FALSE)</f>
        <v>Yes</v>
      </c>
      <c r="E7" s="12">
        <v>10</v>
      </c>
      <c r="F7" s="12"/>
      <c r="G7" s="12" t="str">
        <f ca="1">VLOOKUP($A7&amp;$B$1,'Export 3 Oct'!$B$6:$K$851,6, FALSE)</f>
        <v>https://wikirate.org/~22246815</v>
      </c>
      <c r="H7" s="14"/>
      <c r="I7" s="12"/>
    </row>
    <row r="8" spans="1:9" ht="48">
      <c r="A8" s="13" t="s">
        <v>629</v>
      </c>
      <c r="B8" s="14" t="s">
        <v>1499</v>
      </c>
      <c r="C8" s="14" t="s">
        <v>1517</v>
      </c>
      <c r="D8" s="14" t="str">
        <f ca="1">VLOOKUP($A8&amp;$B$1,'Export 3 Oct'!$B$6:$K$851,5, FALSE)</f>
        <v>No</v>
      </c>
      <c r="E8" s="12">
        <v>0</v>
      </c>
      <c r="F8" s="12"/>
      <c r="G8" s="12" t="str">
        <f ca="1">VLOOKUP($A8&amp;$B$1,'Export 3 Oct'!$B$6:$K$851,6, FALSE)</f>
        <v>https://wikirate.org/~21495936</v>
      </c>
      <c r="H8" s="14" t="str">
        <f ca="1">VLOOKUP($A8&amp;$B$1,'Export 3 Oct'!$B$6:$K$851,10, FALSE)</f>
        <v>p. 149 has a link to the company's policies landing page on their website in the footnotes, but no direct link to the biodiversity policy that is referenced. Same approach in a few other instances. Laureen van Breen[https://wikirate.org/Laureen_van_Breen].....2025-08-20 08:32:09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https://wikirate.org/~22246850</v>
      </c>
      <c r="H9" s="14" t="str">
        <f ca="1">VLOOKUP($A9&amp;$B$1,'Export 3 Oct'!$B$6:$K$851,10, FALSE)</f>
        <v>The policies are on one page and the code of conduct another but they do have an overview. Laureen van Breen[https://wikirate.org/Laureen_van_Breen].....2025-08-20 08:37:27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https://wikirate.org/~21495936</v>
      </c>
      <c r="H10" s="14" t="str">
        <f ca="1">VLOOKUP($A10&amp;$B$1,'Export 3 Oct'!$B$6:$K$851,10, FALSE)</f>
        <v>The ISIN of the company is listed on page 25 but this is in relation to their stocks, not really about identifying themselves in the context of their reporting. Laureen van Breen[https://wikirate.org/Laureen_van_Breen].....2025-08-20 08:42:23 UTC</v>
      </c>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https://wikirate.org/~21495936</v>
      </c>
      <c r="H11" s="14" t="str">
        <f ca="1">VLOOKUP($A11&amp;$B$1,'Export 3 Oct'!$B$6:$K$851,10, FALSE)</f>
        <v>p. 95 1 Jan - 31 Dec 2024 Laureen van Breen[https://wikirate.org/Laureen_van_Breen].....2025-08-20 08:45:01 UTC p. 95 "The report covers the period from January 1 to December 31, 2024, except where otherwise indicated." Lucia Ixtacuy[https://wikirate.org/Lucia_Ixtacuy].....2025-09-11 11:49:30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https://wikirate.org/~21495936</v>
      </c>
      <c r="H12" s="14"/>
      <c r="I12" s="12"/>
    </row>
    <row r="13" spans="1:9" ht="208">
      <c r="A13" s="13" t="s">
        <v>1044</v>
      </c>
      <c r="B13" s="14" t="s">
        <v>1504</v>
      </c>
      <c r="C13" s="14" t="s">
        <v>1520</v>
      </c>
      <c r="D13" s="14" t="str">
        <f ca="1">VLOOKUP($A13&amp;$B$1,'Export 3 Oct'!$B$6:$K$851,5, FALSE)</f>
        <v>CSRD (ESRS)</v>
      </c>
      <c r="E13" s="12">
        <v>10</v>
      </c>
      <c r="F13" s="12"/>
      <c r="G13" s="12" t="str">
        <f ca="1">VLOOKUP($A13&amp;$B$1,'Export 3 Oct'!$B$6:$K$851,6, FALSE)</f>
        <v>https://wikirate.org/~21495936</v>
      </c>
      <c r="H13" s="14" t="str">
        <f ca="1">VLOOKUP($A13&amp;$B$1,'Export 3 Oct'!$B$6:$K$851,10, FALSE)</f>
        <v>p. 21 mentions IFRS but regarding financial disclosures (not the ISSB indicators) p. 95 previously they used GRI but now switched to ESRS p. 110 mentions they "considered aspects" of reporting standards GRI, SASB, and TCFD to identify IROs.. (impacts, risks and opportunities). But no further detail is provided so it seems to "light" of an integration that I would not say they have used these standards for their reporting. Laureen van Breen[https://wikirate.org/Laureen_van_Breen].....2025-08-20 09:14:37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https://wikirate.org/~21495936</v>
      </c>
      <c r="H14" s="14" t="str">
        <f ca="1">VLOOKUP($A14&amp;$B$1,'Export 3 Oct'!$B$6:$K$851,10, FALSE)</f>
        <v>Alongside disclosure example: p. 145 Index: p. 212-216 Laureen van Breen[https://wikirate.org/Laureen_van_Breen].....2025-08-20 09:16:21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https://wikirate.org/~21495936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https://wikirate.org/~21495936</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https://wikirate.org/~21495936</v>
      </c>
      <c r="H18" s="14" t="str">
        <f ca="1">VLOOKUP($A18&amp;$B$1,'Export 3 Oct'!$B$6:$K$851,10, FALSE)</f>
        <v>p. 96 and 108 Laureen van Breen[https://wikirate.org/Laureen_van_Breen].....2025-08-20 09:18:34 UTC</v>
      </c>
      <c r="I18" s="12"/>
    </row>
    <row r="19" spans="1:9" ht="176">
      <c r="A19" s="13" t="s">
        <v>1280</v>
      </c>
      <c r="B19" s="14" t="s">
        <v>1509</v>
      </c>
      <c r="C19" s="12" t="s">
        <v>1523</v>
      </c>
      <c r="D19" s="14" t="str">
        <f ca="1">VLOOKUP($A19&amp;$B$1,'Export 3 Oct'!$B$6:$K$851,5, FALSE)</f>
        <v>Yes</v>
      </c>
      <c r="E19" s="12" t="s">
        <v>1515</v>
      </c>
      <c r="F19" s="12"/>
      <c r="G19" s="12" t="str">
        <f ca="1">VLOOKUP($A19&amp;$B$1,'Export 3 Oct'!$B$6:$K$851,6, FALSE)</f>
        <v>https://wikirate.org/~21495936</v>
      </c>
      <c r="H19" s="14" t="str">
        <f ca="1">VLOOKUP($A19&amp;$B$1,'Export 3 Oct'!$B$6:$K$851,10, FALSE)</f>
        <v>p. 200 they mention that the 'total annual lobbying spending can be gleaned' from their entries in the EU transparency register and German lobby register, but they do not actually disclose the budget in their report. Laureen van Breen[https://wikirate.org/Laureen_van_Breen].....2025-08-20 09:21:26 UTC p. 198 "Evonik does not donate to political parties, but did sponsor a number of political events in 2024 with donations in cash and in kind. The related expenses totaled ‚Ç¨135 thousand. Our total annual lobbying spending can be gleaned from the above-mentioned entries in the European Transparency Register and German lobby register. This expenditure is composed of personnel expenses, infrastructure expenses (rent, IT expenses, company cars, etc.), representation expenses (travel expenses, participation fees, etc.), expenses for external advisory and support services (agencies), and other expenses related to lobbying (memberships, training, own events, etc.). The information in the European Transparency Registe...</v>
      </c>
      <c r="I19" s="12"/>
    </row>
    <row r="20" spans="1:9" ht="64">
      <c r="A20" s="13" t="s">
        <v>814</v>
      </c>
      <c r="B20" s="14" t="s">
        <v>1510</v>
      </c>
      <c r="C20" s="14" t="s">
        <v>1524</v>
      </c>
      <c r="D20" s="14" t="str">
        <f ca="1">VLOOKUP($A20&amp;$B$1,'Export 3 Oct'!$B$6:$K$851,5, FALSE)</f>
        <v>Limited assurance</v>
      </c>
      <c r="E20" s="12" t="s">
        <v>1515</v>
      </c>
      <c r="F20" s="12"/>
      <c r="G20" s="12" t="str">
        <f ca="1">VLOOKUP($A20&amp;$B$1,'Export 3 Oct'!$B$6:$K$851,6, FALSE)</f>
        <v>https://wikirate.org/~21495936</v>
      </c>
      <c r="H20" s="14" t="str">
        <f ca="1">VLOOKUP($A20&amp;$B$1,'Export 3 Oct'!$B$6:$K$851,10, FALSE)</f>
        <v>p. 318 Laureen van Breen[https://wikirate.org/Laureen_van_Breen].....2025-08-20 09:23:13 UTC p. 318 "Assurance report of the independent German Public Auditor on a limited assurance engagement in relation to the Consolidated Sustainability Statement" Lucia Ixtacuy[https://wikirate.org/Lucia_Ixtacuy].....2025-09-11 16:15:31 UTC</v>
      </c>
      <c r="I20" s="12"/>
    </row>
    <row r="21" spans="1:9" ht="176">
      <c r="A21" s="13" t="s">
        <v>13</v>
      </c>
      <c r="B21" s="14" t="s">
        <v>1511</v>
      </c>
      <c r="C21" s="12" t="s">
        <v>1523</v>
      </c>
      <c r="D21" s="14" t="str">
        <f ca="1">VLOOKUP($A21&amp;$B$1,'Export 3 Oct'!$B$6:$K$851,5, FALSE)</f>
        <v>Yes</v>
      </c>
      <c r="E21" s="12" t="s">
        <v>1515</v>
      </c>
      <c r="F21" s="12"/>
      <c r="G21" s="12" t="str">
        <f ca="1">VLOOKUP($A21&amp;$B$1,'Export 3 Oct'!$B$6:$K$851,6, FALSE)</f>
        <v>https://wikirate.org/~21495936</v>
      </c>
      <c r="H21" s="14" t="str">
        <f ca="1">VLOOKUP($A21&amp;$B$1,'Export 3 Oct'!$B$6:$K$851,10, FALSE)</f>
        <v>p. 205 Laureen van Breen[https://wikirate.org/Laureen_van_Breen].....2025-08-20 09:23:52 UTC p. 205 "Based on the findings, specific improvement measures are initiated as required (see chart C73 ‚ÄúAudit escalation process‚Äù p. 204). To minimize risks in connection with our management of contractors, we obtain and evaluate evidence and self-assessments on compliance with the relevant German legislation (the German Minimum Wage Act, the German Employee Secondment Act, and the GermanOrdinance on Craftsmen). We have a clear-cut, structured process for supplier audits, including various escalation steps. Wherever shortcomings are identified, we expect our suppliers to implement corrective action plans within a defined timeframe. These actions are tracked using a software solution. If the shortcomings are particularly serious and no improvement can be ascertained, we reserve the right to terminate our collaboration with the supplier." Lucia Ixtacuy[https://wikirate.org/Lucia_Ixtacuy].....2025-09-11 11:53:37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8CD48-B310-5E42-89D2-C70E0BEF256E}">
  <sheetPr codeName="Sheet21"/>
  <dimension ref="A1:I30"/>
  <sheetViews>
    <sheetView topLeftCell="A16"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GEA Group</v>
      </c>
    </row>
    <row r="2" spans="1:9" ht="23">
      <c r="A2" s="8" t="s">
        <v>1616</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https://wikirate.org/~22206941</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https://wikirate.org/~22206941</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https://wikirate.org/~22206965</v>
      </c>
      <c r="H7" s="14" t="str">
        <f ca="1">VLOOKUP($A7&amp;$B$1,'Export 3 Oct'!$B$6:$K$851,10, FALSE)</f>
        <v>Reports available back to 2018 Marc McGowan[https://wikirate.org/Marc_McGowan].....2025-08-08 14:11:00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https://wikirate.org/~21496666</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https://wikirate.org/~22206993</v>
      </c>
      <c r="H9" s="14" t="str">
        <f ca="1">VLOOKUP($A9&amp;$B$1,'Export 3 Oct'!$B$6:$K$851,10, FALSE)</f>
        <v>Contains some policy docs mentioned in the report, but others are on different parts of the website Marc McGowan[https://wikirate.org/Marc_McGowan].....2025-08-08 15:03:14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https://wikirate.org/~21496666</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https://wikirate.org/~21496666</v>
      </c>
      <c r="H11" s="14" t="str">
        <f ca="1">VLOOKUP($A11&amp;$B$1,'Export 3 Oct'!$B$6:$K$851,10, FALSE)</f>
        <v>P65: "January 1st to December 31st 2024" Marc McGowan[https://wikirate.org/Marc_McGowan].....2025-08-08 15:14:43 UTC</v>
      </c>
      <c r="I11" s="12"/>
    </row>
    <row r="12" spans="1:9" ht="48">
      <c r="A12" s="13" t="s">
        <v>987</v>
      </c>
      <c r="B12" s="14" t="s">
        <v>1503</v>
      </c>
      <c r="C12" s="14" t="s">
        <v>1517</v>
      </c>
      <c r="D12" s="14" t="str">
        <f ca="1">VLOOKUP($A12&amp;$B$1,'Export 3 Oct'!$B$6:$K$851,5, FALSE)</f>
        <v>Yes</v>
      </c>
      <c r="E12" s="12">
        <v>10</v>
      </c>
      <c r="F12" s="12"/>
      <c r="G12" s="12" t="str">
        <f ca="1">VLOOKUP($A12&amp;$B$1,'Export 3 Oct'!$B$6:$K$851,6, FALSE)</f>
        <v>https://wikirate.org/~21496666</v>
      </c>
      <c r="H12" s="14" t="str">
        <f ca="1">VLOOKUP($A12&amp;$B$1,'Export 3 Oct'!$B$6:$K$851,10, FALSE)</f>
        <v>1 page difference Thomas Howie[https://wikirate.org/Thomas_Howie].....2025-09-02 12:40:18 UTC Re-checked, PDF viewer glitch: seems to be slightly out sometimes to report. Thomas Howie[https://wikirate.org/Thomas_Howie].....2025-09-02 12:46:33 UTC</v>
      </c>
      <c r="I12" s="12"/>
    </row>
    <row r="13" spans="1:9" ht="208">
      <c r="A13" s="13" t="s">
        <v>1044</v>
      </c>
      <c r="B13" s="14" t="s">
        <v>1504</v>
      </c>
      <c r="C13" s="14" t="s">
        <v>1520</v>
      </c>
      <c r="D13" s="14" t="str">
        <f ca="1">VLOOKUP($A13&amp;$B$1,'Export 3 Oct'!$B$6:$K$851,5, FALSE)</f>
        <v>CSRD (ESRS)</v>
      </c>
      <c r="E13" s="12">
        <v>10</v>
      </c>
      <c r="F13" s="12"/>
      <c r="G13" s="12" t="str">
        <f ca="1">VLOOKUP($A13&amp;$B$1,'Export 3 Oct'!$B$6:$K$851,6, FALSE)</f>
        <v>https://wikirate.org/~21496666</v>
      </c>
      <c r="H13" s="14" t="str">
        <f ca="1">VLOOKUP($A13&amp;$B$1,'Export 3 Oct'!$B$6:$K$851,10, FALSE)</f>
        <v>ESRS used throughout the report to structure disclosures. P221 contains datapoint index Marc McGowan[https://wikirate.org/Marc_McGowan].....2025-08-08 15:24:11 UTC</v>
      </c>
      <c r="I13" s="12"/>
    </row>
    <row r="14" spans="1:9" ht="128">
      <c r="A14" s="13" t="s">
        <v>495</v>
      </c>
      <c r="B14" s="14" t="s">
        <v>1505</v>
      </c>
      <c r="C14" s="14" t="s">
        <v>1521</v>
      </c>
      <c r="D14" s="14" t="str">
        <f ca="1">VLOOKUP($A14&amp;$B$1,'Export 3 Oct'!$B$6:$K$851,5, FALSE)</f>
        <v>Alongside disclosures (in line or on the same page), Other</v>
      </c>
      <c r="E14" s="12">
        <v>10</v>
      </c>
      <c r="F14" s="12"/>
      <c r="G14" s="12" t="str">
        <f ca="1">VLOOKUP($A14&amp;$B$1,'Export 3 Oct'!$B$6:$K$851,6, FALSE)</f>
        <v>https://wikirate.org/~21496666</v>
      </c>
      <c r="H14" s="14" t="str">
        <f ca="1">VLOOKUP($A14&amp;$B$1,'Export 3 Oct'!$B$6:$K$851,10, FALSE)</f>
        <v>ESRS disclosures indicated per section see P65 ESRS index without page references P221 Marc McGowan[https://wikirate.org/Marc_McGowan].....2025-08-08 15:50:10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https://wikirate.org/~21496666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https://wikirate.org/~21496666</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https://wikirate.org/~21496666</v>
      </c>
      <c r="H18" s="14" t="str">
        <f ca="1">VLOOKUP($A18&amp;$B$1,'Export 3 Oct'!$B$6:$K$851,10, FALSE)</f>
        <v>P76: Outlines approach to double materiality Marc McGowan[https://wikirate.org/Marc_McGowan].....2025-08-11 07:47:29 UTC</v>
      </c>
      <c r="I18" s="12"/>
    </row>
    <row r="19" spans="1:9" ht="80">
      <c r="A19" s="13" t="s">
        <v>1280</v>
      </c>
      <c r="B19" s="14" t="s">
        <v>1509</v>
      </c>
      <c r="C19" s="12" t="s">
        <v>1523</v>
      </c>
      <c r="D19" s="14" t="str">
        <f ca="1">VLOOKUP($A19&amp;$B$1,'Export 3 Oct'!$B$6:$K$851,5, FALSE)</f>
        <v>Yes</v>
      </c>
      <c r="E19" s="12" t="s">
        <v>1515</v>
      </c>
      <c r="F19" s="12"/>
      <c r="G19" s="12" t="str">
        <f ca="1">VLOOKUP($A19&amp;$B$1,'Export 3 Oct'!$B$6:$K$851,6, FALSE)</f>
        <v>https://wikirate.org/~21496666</v>
      </c>
      <c r="H19" s="14" t="str">
        <f ca="1">VLOOKUP($A19&amp;$B$1,'Export 3 Oct'!$B$6:$K$851,10, FALSE)</f>
        <v>P202: outlines expenditures on political activities and industry associations Marc McGowan[https://wikirate.org/Marc_McGowan].....2025-08-11 07:57:29 UTC Given the high-level framing of the metric, let's consider this criteria met. However it should be noted that on p. 231 the company lists ESRS G1-5 G1-5 - Political influence and lobbying activities as 'non-material'. Laureen van Breen[https://wikirate.org/Laureen_van_Breen].....2025-09-22 06:37:24 UTC</v>
      </c>
      <c r="I19" s="12"/>
    </row>
    <row r="20" spans="1:9" ht="48">
      <c r="A20" s="13" t="s">
        <v>814</v>
      </c>
      <c r="B20" s="14" t="s">
        <v>1510</v>
      </c>
      <c r="C20" s="14" t="s">
        <v>1524</v>
      </c>
      <c r="D20" s="14" t="str">
        <f ca="1">VLOOKUP($A20&amp;$B$1,'Export 3 Oct'!$B$6:$K$851,5, FALSE)</f>
        <v>Limited assurance, Reasonable assurance</v>
      </c>
      <c r="E20" s="12" t="s">
        <v>1515</v>
      </c>
      <c r="F20" s="12"/>
      <c r="G20" s="12" t="str">
        <f ca="1">VLOOKUP($A20&amp;$B$1,'Export 3 Oct'!$B$6:$K$851,6, FALSE)</f>
        <v>https://wikirate.org/~21496666</v>
      </c>
      <c r="H20" s="14" t="str">
        <f ca="1">VLOOKUP($A20&amp;$B$1,'Export 3 Oct'!$B$6:$K$851,10, FALSE)</f>
        <v>P65: outlines that the report was validated with limited assurance, but some datapoints with reasonable assurance Marc McGowan[https://wikirate.org/Marc_McGowan].....2025-08-11 08:10:50 UTC</v>
      </c>
      <c r="I20" s="12"/>
    </row>
    <row r="21" spans="1:9" ht="208">
      <c r="A21" s="13" t="s">
        <v>13</v>
      </c>
      <c r="B21" s="14" t="s">
        <v>1511</v>
      </c>
      <c r="C21" s="12" t="s">
        <v>1523</v>
      </c>
      <c r="D21" s="14" t="str">
        <f ca="1">VLOOKUP($A21&amp;$B$1,'Export 3 Oct'!$B$6:$K$851,5, FALSE)</f>
        <v>Yes</v>
      </c>
      <c r="E21" s="12" t="s">
        <v>1515</v>
      </c>
      <c r="F21" s="12"/>
      <c r="G21" s="12" t="str">
        <f ca="1">VLOOKUP($A21&amp;$B$1,'Export 3 Oct'!$B$6:$K$851,6, FALSE)</f>
        <v>https://wikirate.org/~21496666</v>
      </c>
      <c r="H21" s="14" t="str">
        <f ca="1">VLOOKUP($A21&amp;$B$1,'Export 3 Oct'!$B$6:$K$851,10, FALSE)</f>
        <v>P106: Biodiversity topics part of supplier audits Marc McGowan[https://wikirate.org/Marc_McGowan].....2025-08-11 08:14:25 UTC p 174 "The safety of subcontractors is just as important as that of GEA‚Äôs own workforce. Occupational safety is therefore not only an integral part of the supplier terms and conditions, which are specified in the Code of Conduct for Suppliers and Subcontractors, but also a core element of GEA supplier screening and a regular component of supplier audits." Thomas Howie[https://wikirate.org/Thomas_Howie].....2025-09-02 12:58:21 UTC p 174 "The safety of subcontractors is just as important as that of GEA‚Äôs own workforce. Occupational safety is therefore not only an integral part of the supplier terms and conditions, which are specified in the Code of Conduct for Suppliers and Subcontractors, but also a core element of GEA supplier screening and a regular component of supplier audits." Thomas Howie[https://wikirate.org/Thomas_Howie].....2025-09-02 13:00:08 UTC p 174 "The safety of subcon...</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AB43-6624-AD44-B80A-D15DBDE4AD4B}">
  <sheetPr codeName="Sheet22"/>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Gelsenwasser</v>
      </c>
    </row>
    <row r="2" spans="1:9" ht="23">
      <c r="A2" s="8" t="s">
        <v>1616</v>
      </c>
      <c r="B2" s="18">
        <f>SUM(E5:E16)/12</f>
        <v>4.916666666666667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https://wikirate.org/~22247741</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https://wikirate.org/~22247752</v>
      </c>
      <c r="H6" s="14"/>
      <c r="I6" s="12"/>
    </row>
    <row r="7" spans="1:9" ht="80">
      <c r="A7" s="13" t="s">
        <v>901</v>
      </c>
      <c r="B7" s="14" t="s">
        <v>1498</v>
      </c>
      <c r="C7" s="14" t="s">
        <v>1517</v>
      </c>
      <c r="D7" s="14" t="str">
        <f ca="1">VLOOKUP($A7&amp;$B$1,'Export 3 Oct'!$B$6:$K$851,5, FALSE)</f>
        <v>No</v>
      </c>
      <c r="E7" s="12">
        <v>0</v>
      </c>
      <c r="F7" s="12"/>
      <c r="G7" s="12" t="str">
        <f ca="1">VLOOKUP($A7&amp;$B$1,'Export 3 Oct'!$B$6:$K$851,6, FALSE)</f>
        <v>https://wikirate.org/~22247724</v>
      </c>
      <c r="H7" s="14" t="str">
        <f ca="1">VLOOKUP($A7&amp;$B$1,'Export 3 Oct'!$B$6:$K$851,10, FALSE)</f>
        <v>I was able to find an archive of annual reports, but before 2024 these did not include any non-financial data. I also found the Sustainability report for 2023 on the website, but nothing older. In a google search I did manage to find direct links to older susty reports but I could not find an archive on their website. Laureen van Breen[https://wikirate.org/Laureen_van_Breen].....2025-08-21 09:19:27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https://wikirate.org/~22247752</v>
      </c>
      <c r="H8" s="14"/>
      <c r="I8" s="12"/>
    </row>
    <row r="9" spans="1:9" ht="64">
      <c r="A9" s="13" t="s">
        <v>701</v>
      </c>
      <c r="B9" s="14" t="s">
        <v>1500</v>
      </c>
      <c r="C9" s="14" t="s">
        <v>1518</v>
      </c>
      <c r="D9" s="14" t="str">
        <f ca="1">VLOOKUP($A9&amp;$B$1,'Export 3 Oct'!$B$6:$K$851,5, FALSE)</f>
        <v>No</v>
      </c>
      <c r="E9" s="12">
        <v>0</v>
      </c>
      <c r="F9" s="12"/>
      <c r="G9" s="12" t="str">
        <f ca="1">VLOOKUP($A9&amp;$B$1,'Export 3 Oct'!$B$6:$K$851,6, FALSE)</f>
        <v>https://wikirate.org/~22247762</v>
      </c>
      <c r="H9" s="14" t="str">
        <f ca="1">VLOOKUP($A9&amp;$B$1,'Export 3 Oct'!$B$6:$K$851,10, FALSE)</f>
        <v>Found no evidence of an archive or library of their code of conduct(s) or policies. Laureen van Breen[https://wikirate.org/Laureen_van_Breen].....2025-08-21 09:25:30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https://wikirate.org/~22247752</v>
      </c>
      <c r="H10" s="14" t="str">
        <f ca="1">VLOOKUP($A10&amp;$B$1,'Export 3 Oct'!$B$6:$K$851,10, FALSE)</f>
        <v>"Die Gesellschaft ist im Handelsregister des Amtsgerichts Gelsenkirchen unter HRB 165 eingetragen." (p.28) Laureen van Breen[https://wikirate.org/Laureen_van_Breen].....2025-08-21 09:28:35 UTC</v>
      </c>
      <c r="I10" s="12"/>
    </row>
    <row r="11" spans="1:9" ht="80">
      <c r="A11" s="13" t="s">
        <v>412</v>
      </c>
      <c r="B11" s="14" t="s">
        <v>1502</v>
      </c>
      <c r="C11" s="14" t="s">
        <v>1517</v>
      </c>
      <c r="D11" s="14" t="str">
        <f ca="1">VLOOKUP($A11&amp;$B$1,'Export 3 Oct'!$B$6:$K$851,5, FALSE)</f>
        <v>Yes</v>
      </c>
      <c r="E11" s="12">
        <v>10</v>
      </c>
      <c r="F11" s="12"/>
      <c r="G11" s="12" t="str">
        <f ca="1">VLOOKUP($A11&amp;$B$1,'Export 3 Oct'!$B$6:$K$851,6, FALSE)</f>
        <v>https://wikirate.org/~22247752</v>
      </c>
      <c r="H11" s="14" t="str">
        <f ca="1">VLOOKUP($A11&amp;$B$1,'Export 3 Oct'!$B$6:$K$851,10, FALSE)</f>
        <v>"‚Ä∫ kurzfristiger Zeithorizont: Zeitraum, den das Unternehmen in seinem Abschluss als Berichtszeitraum zugrunde gelegt hat; dies entspricht dem Gesch√§ftsjahr (1. Januar bis 31. Dezember), ‚Ä∫ mittelfristiger Zeithorizont: vom Ende des kurzfristigen Berichtszeitraums bis zu f√ºnf Jahren, ‚Ä∫ langfristiger Zeithorizont: mehr als f√ºnf Jahre." (p. 73) Laureen van Breen[https://wikirate.org/Laureen_van_Breen].....2025-08-21 09:38:45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https://wikirate.org/~22247752</v>
      </c>
      <c r="H12" s="14"/>
      <c r="I12" s="12"/>
    </row>
    <row r="13" spans="1:9" ht="208">
      <c r="A13" s="13" t="s">
        <v>1044</v>
      </c>
      <c r="B13" s="14" t="s">
        <v>1504</v>
      </c>
      <c r="C13" s="14" t="s">
        <v>1520</v>
      </c>
      <c r="D13" s="14" t="str">
        <f ca="1">VLOOKUP($A13&amp;$B$1,'Export 3 Oct'!$B$6:$K$851,5, FALSE)</f>
        <v>CSRD (ESRS), Greenhouse Gas Protocol, National standards</v>
      </c>
      <c r="E13" s="12">
        <v>10</v>
      </c>
      <c r="F13" s="12"/>
      <c r="G13" s="12" t="str">
        <f ca="1">VLOOKUP($A13&amp;$B$1,'Export 3 Oct'!$B$6:$K$851,6, FALSE)</f>
        <v>https://wikirate.org/~22247752</v>
      </c>
      <c r="H13" s="14" t="str">
        <f ca="1">VLOOKUP($A13&amp;$B$1,'Export 3 Oct'!$B$6:$K$851,10, FALSE)</f>
        <v>"Die vorliegende nichtfinanzielle Erkl√§rung wurde in Anlehnung an die neue EU-Richtlinie zur Nachhaltigkeitsberichterstattung Corporate Sustainability Reporting Directive (CSRD) unter Ber√ºcksichtigung des Rahmenwerks der European Sustainability Reporting Standards (ESRS) auf konsolidierter Basis f√ºr die GELSENWASSER AG f√ºr das Gesch√§ftsjahr 2024 erstellt. Da die CSRD im Jahr 2024 nicht, wie von der EU gefordert, vollst√§ndig in deutsches Recht umgesetzt wurde, sind f√ºr das Berichtsjahr 2024 weiterhin die Vorgaben des Handelsgesetzbuchs (HGB), insbesondere die ¬ß¬ß 289b bis 289e HGB, f√ºr die Erstellung der nichtfinanziellen Erkl√§rung bindend." (p. 72) "√úber die Anforderungen der ESRS hinaus umfasst die vorliegende nichtfinanzielle Erkl√§rung Informationen auf der Grundlage anderer Rechtsvorschriften und allgemein anerkannter Standards und Rahmenwerke zur Nachhaltigkeitsberichterstattung. Als Beispiel ist hier der Greenhouse Gas Protocol Corporate Accounting and Reporting Standard (GHG Protocol) genannt, der die...</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https://wikirate.org/~22247752</v>
      </c>
      <c r="H14" s="14" t="str">
        <f ca="1">VLOOKUP($A14&amp;$B$1,'Export 3 Oct'!$B$6:$K$851,10, FALSE)</f>
        <v>Alongside disclosure example: p. 119 Index: 98-101 Laureen van Breen[https://wikirate.org/Laureen_van_Breen].....2025-08-21 09:47:34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https://wikirate.org/~22247752</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https://wikirate.org/~22247752</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https://wikirate.org/~22247752</v>
      </c>
      <c r="H18" s="14" t="str">
        <f ca="1">VLOOKUP($A18&amp;$B$1,'Export 3 Oct'!$B$6:$K$851,10, FALSE)</f>
        <v>p. 96 Laureen van Breen[https://wikirate.org/Laureen_van_Breen].....2025-08-21 09:53:58 UTC</v>
      </c>
      <c r="I18" s="12"/>
    </row>
    <row r="19" spans="1:9" ht="128">
      <c r="A19" s="13" t="s">
        <v>1280</v>
      </c>
      <c r="B19" s="14" t="s">
        <v>1509</v>
      </c>
      <c r="C19" s="12" t="s">
        <v>1523</v>
      </c>
      <c r="D19" s="14" t="str">
        <f ca="1">VLOOKUP($A19&amp;$B$1,'Export 3 Oct'!$B$6:$K$851,5, FALSE)</f>
        <v>No</v>
      </c>
      <c r="E19" s="12" t="s">
        <v>1515</v>
      </c>
      <c r="F19" s="12"/>
      <c r="G19" s="12" t="str">
        <f ca="1">VLOOKUP($A19&amp;$B$1,'Export 3 Oct'!$B$6:$K$851,6, FALSE)</f>
        <v>https://wikirate.org/~22247752</v>
      </c>
      <c r="H19" s="14" t="str">
        <f ca="1">VLOOKUP($A19&amp;$B$1,'Export 3 Oct'!$B$6:$K$851,10, FALSE)</f>
        <v>p. 144 Laureen van Breen[https://wikirate.org/Laureen_van_Breen].....2025-08-21 09:55:20 UTC P144:"Finanzielle Zuwendungen und Sachleistungen an Parteien sowie Mandatstr√§ger*innen wurden auch im Jahr 2024 nicht geleistet" Marc McGowan[https://wikirate.org/Marc_McGowan].....2025-09-01 10:39:59 UTC Although the company clearly states they did not make any donation or political contributions, it is also clear from the text that they do do lobbying and policy advice. So we would need to see more details here about the budget they have for engaging in those types of activities. Laureen van Breen[https://wikirate.org/Laureen_van_Breen].....2025-09-22 07:22:17 UTC</v>
      </c>
      <c r="I19" s="12"/>
    </row>
    <row r="20" spans="1:9" ht="192">
      <c r="A20" s="13" t="s">
        <v>814</v>
      </c>
      <c r="B20" s="14" t="s">
        <v>1510</v>
      </c>
      <c r="C20" s="14" t="s">
        <v>1524</v>
      </c>
      <c r="D20" s="14" t="str">
        <f ca="1">VLOOKUP($A20&amp;$B$1,'Export 3 Oct'!$B$6:$K$851,5, FALSE)</f>
        <v>No assurance given</v>
      </c>
      <c r="E20" s="12" t="s">
        <v>1515</v>
      </c>
      <c r="F20" s="12"/>
      <c r="G20" s="12" t="str">
        <f ca="1">VLOOKUP($A20&amp;$B$1,'Export 3 Oct'!$B$6:$K$851,6, FALSE)</f>
        <v>https://wikirate.org/~22247752</v>
      </c>
      <c r="H20" s="14" t="str">
        <f ca="1">VLOOKUP($A20&amp;$B$1,'Export 3 Oct'!$B$6:$K$851,10, FALSE)</f>
        <v>There is an auditor's report (p.234-240) but as far as I can decipher it does not cover the non-financial data. Laureen van Breen[https://wikirate.org/Laureen_van_Breen].....2025-08-21 10:00:41 UTC P234: German: ‚ÄûDar√ºber hinaus haben wir den zusammengefassten Lagebericht der GELSENWASSER AG, f√ºr das Gesch√§ftsjahr vom 1. Januar 2024 bis zum 31. Dezember 2024 gepr√ºft.‚Äú English: ‚ÄúIn addition, we have audited the combined management report of GELSENWASSER AG for the fiscal year from January 1, 2024 to December 31, 2024.‚Äù 2. Opinion on the management report German: ‚Äû‚Ä¶vermittelt der beigef√ºgte zusammengefasste Lagebericht insgesamt ein zutreffendes Bild von der Lage des Konzerns. In allen wesentlichen Belangen steht dieser zusammengefasste Lagebericht im Einklang mit dem Konzernabschluss, entspricht den deutschen gesetzlichen Vorschriften und stellt die Chancen und Risiken der zuk√ºnftigen Entwicklung zutreffend dar.‚Äú English: ‚Äú‚Ä¶the attached combined management report as a whole provides an appropriate view of th...</v>
      </c>
      <c r="I20" s="12"/>
    </row>
    <row r="21" spans="1:9" ht="48">
      <c r="A21" s="13" t="s">
        <v>13</v>
      </c>
      <c r="B21" s="14" t="s">
        <v>1511</v>
      </c>
      <c r="C21" s="12" t="s">
        <v>1523</v>
      </c>
      <c r="D21" s="14" t="str">
        <f ca="1">VLOOKUP($A21&amp;$B$1,'Export 3 Oct'!$B$6:$K$851,5, FALSE)</f>
        <v>No</v>
      </c>
      <c r="E21" s="12" t="s">
        <v>1515</v>
      </c>
      <c r="F21" s="12"/>
      <c r="G21" s="12" t="str">
        <f ca="1">VLOOKUP($A21&amp;$B$1,'Export 3 Oct'!$B$6:$K$851,6, FALSE)</f>
        <v>https://wikirate.org/~22247752</v>
      </c>
      <c r="H21" s="14" t="str">
        <f ca="1">VLOOKUP($A21&amp;$B$1,'Export 3 Oct'!$B$6:$K$851,10, FALSE)</f>
        <v>p. 123 I believe they are starting to integrate sustainability assessments into their supply chain management, but audits are not mentioned specifically. Laureen van Breen[https://wikirate.org/Laureen_van_Breen].....2025-08-21 10:06:39 UTC</v>
      </c>
      <c r="I21" s="12"/>
    </row>
    <row r="26" spans="1:9">
      <c r="A26" s="39" t="s">
        <v>1634</v>
      </c>
    </row>
    <row r="27" spans="1:9">
      <c r="A27" s="38" t="s">
        <v>1630</v>
      </c>
      <c r="B27" s="40">
        <f>AVERAGE($E$5,$E$6,$E$7)</f>
        <v>3</v>
      </c>
    </row>
    <row r="28" spans="1:9">
      <c r="A28" s="38" t="s">
        <v>1631</v>
      </c>
      <c r="B28" s="40">
        <f>AVERAGE($E$8,$E$9)</f>
        <v>0</v>
      </c>
    </row>
    <row r="29" spans="1:9">
      <c r="A29" s="38" t="s">
        <v>1632</v>
      </c>
      <c r="B29" s="40">
        <f>AVERAGE($E$10,$E$11,$E$12,$E$13,$E$14)</f>
        <v>10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54A79-C374-9F4D-BAAC-4F92D7D54CA7}">
  <sheetPr codeName="Sheet23"/>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Heckler &amp; Koch AG</v>
      </c>
    </row>
    <row r="2" spans="1:9" ht="23">
      <c r="A2" s="8" t="s">
        <v>1616</v>
      </c>
      <c r="B2" s="18">
        <f>SUM(E5:E16)/12</f>
        <v>2</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https://wikirate.org/~22250823</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https://wikirate.org/~22250834</v>
      </c>
      <c r="H6" s="14"/>
      <c r="I6" s="12"/>
    </row>
    <row r="7" spans="1:9" ht="32">
      <c r="A7" s="13" t="s">
        <v>901</v>
      </c>
      <c r="B7" s="14" t="s">
        <v>1498</v>
      </c>
      <c r="C7" s="14" t="s">
        <v>1517</v>
      </c>
      <c r="D7" s="14" t="str">
        <f ca="1">VLOOKUP($A7&amp;$B$1,'Export 3 Oct'!$B$6:$K$851,5, FALSE)</f>
        <v>No</v>
      </c>
      <c r="E7" s="12">
        <v>0</v>
      </c>
      <c r="F7" s="12"/>
      <c r="G7" s="12" t="str">
        <f ca="1">VLOOKUP($A7&amp;$B$1,'Export 3 Oct'!$B$6:$K$851,6, FALSE)</f>
        <v>https://wikirate.org/~22250823</v>
      </c>
      <c r="H7" s="14" t="str">
        <f ca="1">VLOOKUP($A7&amp;$B$1,'Export 3 Oct'!$B$6:$K$851,10, FALSE)</f>
        <v>I also tried using the website's search tool and filtering downloads. No sustainability reports from previous years were available. Aureliane[https://wikirate.org/Aureliane].....2025-08-28 12:56:09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https://wikirate.org/~22250834</v>
      </c>
      <c r="H8" s="14" t="str">
        <f ca="1">VLOOKUP($A8&amp;$B$1,'Export 3 Oct'!$B$6:$K$851,10, FALSE)</f>
        <v>Example p.28: mentions of Supplier Code of Conduct but no links Aureliane[https://wikirate.org/Aureliane].....2025-08-28 12:59:28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https://wikirate.org/~22250865</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https://wikirate.org/~22250834</v>
      </c>
      <c r="H10" s="14"/>
      <c r="I10" s="12"/>
    </row>
    <row r="11" spans="1:9" ht="32">
      <c r="A11" s="13" t="s">
        <v>412</v>
      </c>
      <c r="B11" s="14" t="s">
        <v>1502</v>
      </c>
      <c r="C11" s="14" t="s">
        <v>1517</v>
      </c>
      <c r="D11" s="14" t="str">
        <f ca="1">VLOOKUP($A11&amp;$B$1,'Export 3 Oct'!$B$6:$K$851,5, FALSE)</f>
        <v>No</v>
      </c>
      <c r="E11" s="12">
        <v>0</v>
      </c>
      <c r="F11" s="12"/>
      <c r="G11" s="12" t="str">
        <f ca="1">VLOOKUP($A11&amp;$B$1,'Export 3 Oct'!$B$6:$K$851,6, FALSE)</f>
        <v>https://wikirate.org/~22250834</v>
      </c>
      <c r="H11" s="14"/>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https://wikirate.org/~22250834</v>
      </c>
      <c r="H12" s="14"/>
      <c r="I12" s="12"/>
    </row>
    <row r="13" spans="1:9" ht="208">
      <c r="A13" s="13" t="s">
        <v>1044</v>
      </c>
      <c r="B13" s="14" t="s">
        <v>1504</v>
      </c>
      <c r="C13" s="14" t="s">
        <v>1520</v>
      </c>
      <c r="D13" s="14" t="str">
        <f ca="1">VLOOKUP($A13&amp;$B$1,'Export 3 Oct'!$B$6:$K$851,5, FALSE)</f>
        <v>None</v>
      </c>
      <c r="E13" s="12">
        <v>0</v>
      </c>
      <c r="F13" s="12"/>
      <c r="G13" s="12" t="str">
        <f ca="1">VLOOKUP($A13&amp;$B$1,'Export 3 Oct'!$B$6:$K$851,6, FALSE)</f>
        <v>https://wikirate.org/~22250834</v>
      </c>
      <c r="H13" s="14" t="str">
        <f ca="1">VLOOKUP($A13&amp;$B$1,'Export 3 Oct'!$B$6:$K$851,10, FALSE)</f>
        <v>The company has not yet aligned their reporting with CSRD. p. 35 "Zum Berichts-jahr2025 werden wir dann auf ein CSRD-Reporting umstellen(Corporate Sustainability Reporting Directive)." Mention of alignement with SDGs (UN-Ziele) Aureliane[https://wikirate.org/Aureliane].....2025-08-28 13:25:02 UTC</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https://wikirate.org/~22250834</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https://wikirate.org/~22250834</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https://wikirate.org/~22250834</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https://wikirate.org/~22250834</v>
      </c>
      <c r="H18" s="14" t="str">
        <f ca="1">VLOOKUP($A18&amp;$B$1,'Export 3 Oct'!$B$6:$K$851,10, FALSE)</f>
        <v>No mention of doppelte Wesentlichkeitsanalyse / Wesentlichkeit. The company has not yet aligned their reporting with CSRD. Aureliane[https://wikirate.org/Aureliane].....2025-08-28 13:32:06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https://wikirate.org/~22250834</v>
      </c>
      <c r="H19" s="14"/>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https://wikirate.org/~22250834</v>
      </c>
      <c r="H20" s="14"/>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https://wikirate.org/~22250834</v>
      </c>
      <c r="H21" s="14" t="str">
        <f ca="1">VLOOKUP($A21&amp;$B$1,'Export 3 Oct'!$B$6:$K$851,10, FALSE)</f>
        <v>In preparation for LkSG, they've been conducting "random" on-site audits with suppliers. p. 28 Als Pr√§ventionsma√ünahmen zur Einhaltung des LkSG haben wir folgende Ma√ünahmen vorgesehen:Selbstauskunft des Lieferanten: Anhand der Selbstauskunft beurteilen wir, ob direkte Lieferanten die Anforderungen an die Einhaltung der Menschenrechte und das Thema Nachhaltigkeit erf√ºllen. Stichprobenartig f√ºhren wir auch Vor-Ort-Audits durch und √ºberpr√ºfen die Richtigkeit der mitgeteilten An-gaben und f√ºhren Gespr√§che mit den Lieferanten. Aureliane[https://wikirate.org/Aureliane].....2025-08-28 15:46:37 UTC</v>
      </c>
      <c r="I21" s="12"/>
    </row>
    <row r="26" spans="1:9">
      <c r="A26" s="39" t="s">
        <v>1634</v>
      </c>
    </row>
    <row r="27" spans="1:9">
      <c r="A27" s="38" t="s">
        <v>1630</v>
      </c>
      <c r="B27" s="40">
        <f>AVERAGE($E$5,$E$6,$E$7)</f>
        <v>3</v>
      </c>
    </row>
    <row r="28" spans="1:9">
      <c r="A28" s="38" t="s">
        <v>1631</v>
      </c>
      <c r="B28" s="40">
        <f>AVERAGE($E$8,$E$9)</f>
        <v>2.5</v>
      </c>
    </row>
    <row r="29" spans="1:9">
      <c r="A29" s="38" t="s">
        <v>1632</v>
      </c>
      <c r="B29" s="40">
        <f>AVERAGE($E$10,$E$11,$E$12,$E$13,$E$14)</f>
        <v>2</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EFE0E-A857-8041-B57B-1E007D8F93A2}">
  <sheetPr codeName="Sheet30"/>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HELLA GMBH &amp; CO. KGAA</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https://wikirate.org/~22218223</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https://wikirate.org/~22218223</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https://wikirate.org/~22218223</v>
      </c>
      <c r="H7" s="14" t="str">
        <f ca="1">VLOOKUP($A7&amp;$B$1,'Export 3 Oct'!$B$6:$K$851,10, FALSE)</f>
        <v>https://www.hella.com/en/Investor-Relations/Publications-266/?presstype=ar Yohann[https://wikirate.org/Yohann].....2025-08-14 15:54:16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https://wikirate.org/~21496706</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https://wikirate.org/~22218801</v>
      </c>
      <c r="H9" s="14" t="str">
        <f ca="1">VLOOKUP($A9&amp;$B$1,'Export 3 Oct'!$B$6:$K$851,10, FALSE)</f>
        <v>https://www.hella.com/en/Company/Compliance-258/ I found the code of conduct (p. 101 they mention it) as well as other policies referred to in the annual report however I'm not sure if there are all there. Yohann[https://wikirate.org/Yohann].....2025-08-14 15:59:45 UTC</v>
      </c>
      <c r="I9" s="12"/>
    </row>
    <row r="10" spans="1:9" ht="192">
      <c r="A10" s="13" t="s">
        <v>328</v>
      </c>
      <c r="B10" s="14" t="s">
        <v>1501</v>
      </c>
      <c r="C10" s="14" t="s">
        <v>1519</v>
      </c>
      <c r="D10" s="14" t="str">
        <f ca="1">VLOOKUP($A10&amp;$B$1,'Export 3 Oct'!$B$6:$K$851,5, FALSE)</f>
        <v>International Securities Identification Number (ISIN)</v>
      </c>
      <c r="E10" s="12">
        <v>10</v>
      </c>
      <c r="F10" s="12"/>
      <c r="G10" s="12" t="str">
        <f ca="1">VLOOKUP($A10&amp;$B$1,'Export 3 Oct'!$B$6:$K$851,6, FALSE)</f>
        <v>https://wikirate.org/~21496706</v>
      </c>
      <c r="H10" s="14" t="str">
        <f ca="1">VLOOKUP($A10&amp;$B$1,'Export 3 Oct'!$B$6:$K$851,10, FALSE)</f>
        <v>p. 83 talks a bit about entities covered in the non-financial report under "1.3 Scope of consolidation" but no formal IDs. Yohann[https://wikirate.org/Yohann].....2025-08-14 16:05:39 UTC p. 15 Data on HELLA shares Initial stock market quotation11 November 2014 Ticker symbolHLE ISIN DE000A13SX22 SIN A13SX2 Share class No-par value ordinary bearer shares Market segments Prime Standard (Frankfurt Stock Exchange) Regulated market (Luxembourg Stock Exchange)Index MDAX Aureliane[https://wikirate.org/Aureliane].....2025-08-26 13:29:18 UTC</v>
      </c>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https://wikirate.org/~21496706</v>
      </c>
      <c r="H11" s="14" t="str">
        <f ca="1">VLOOKUP($A11&amp;$B$1,'Export 3 Oct'!$B$6:$K$851,10, FALSE)</f>
        <v>1 January to 31 December 2024 p. 84 first paragraph under 1.4 section Yohann[https://wikirate.org/Yohann].....2025-08-14 16:06:44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https://wikirate.org/~21496706</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https://wikirate.org/~21496706</v>
      </c>
      <c r="H13" s="14" t="str">
        <f ca="1">VLOOKUP($A13&amp;$B$1,'Export 3 Oct'!$B$6:$K$851,10, FALSE)</f>
        <v>ESRS p. 83 GRI and SASB p. 108 under section 2.8 1.3 IFRS p. 32 on the bottom right under "HELLA Gmbh &amp; Co. KGaA" but seems to apply only to financial report. GGP p. 32 under "non-financial performance indicators" Yohann[https://wikirate.org/Yohann].....2025-08-14 16:17:39 UTC GRI and SASB were only used for comparison with the ESRS for the selection of material topics in their DMA. Seeing that is very light touch (in comparison to actually using the standards to report data), I am removing those answer options. Laureen van Breen[https://wikirate.org/Laureen_van_Breen].....2025-09-22 06:27:26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https://wikirate.org/~21496706</v>
      </c>
      <c r="H14" s="14" t="str">
        <f ca="1">VLOOKUP($A14&amp;$B$1,'Export 3 Oct'!$B$6:$K$851,10, FALSE)</f>
        <v>alongside disclosure ex p. 83 index pp 114/116 Yohann[https://wikirate.org/Yohann].....2025-08-14 16:19:14 UTC Example p. 85: 2.1 Role of the administrative, management and supervisory bodies (ESRS 2 GOV-1) Aureliane[https://wikirate.org/Aureliane].....2025-08-26 14:24:29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https://wikirate.org/~21496706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https://wikirate.org/~21496706</v>
      </c>
      <c r="H16" s="14"/>
      <c r="I16" s="12"/>
    </row>
    <row r="17" spans="1:9">
      <c r="A17" s="15" t="s">
        <v>1512</v>
      </c>
      <c r="B17" s="16"/>
      <c r="C17" s="17"/>
      <c r="D17" s="16"/>
      <c r="E17" s="17"/>
      <c r="F17" s="17"/>
      <c r="G17" s="17"/>
      <c r="H17" s="16"/>
      <c r="I17" s="12"/>
    </row>
    <row r="18" spans="1:9" ht="96">
      <c r="A18" s="13" t="s">
        <v>1195</v>
      </c>
      <c r="B18" s="14" t="s">
        <v>1508</v>
      </c>
      <c r="C18" s="12" t="s">
        <v>1523</v>
      </c>
      <c r="D18" s="14" t="str">
        <f ca="1">VLOOKUP($A18&amp;$B$1,'Export 3 Oct'!$B$6:$K$851,5, FALSE)</f>
        <v>Yes</v>
      </c>
      <c r="E18" s="12" t="s">
        <v>1515</v>
      </c>
      <c r="F18" s="12"/>
      <c r="G18" s="12" t="str">
        <f ca="1">VLOOKUP($A18&amp;$B$1,'Export 3 Oct'!$B$6:$K$851,6, FALSE)</f>
        <v>https://wikirate.org/~21496706</v>
      </c>
      <c r="H18" s="14" t="str">
        <f ca="1">VLOOKUP($A18&amp;$B$1,'Export 3 Oct'!$B$6:$K$851,10, FALSE)</f>
        <v>p. 108 first paragraph Yohann[https://wikirate.org/Yohann].....2025-08-14 16:25:38 UTC p.108 "The double materiality analysis comprises the as-sessment of the material IROs (impacts, risks and opportunities) related to environmental, social and governance topics as listed in the various ESRS standards (Annex A of ESRS 1). HELLA did not iden-tify any additional company-specific material top-ics. The IROs cover not only HELLA, but also the entire value chain. Sustainability issues are ana-lysed from two perspectives." Aureliane[https://wikirate.org/Aureliane].....2025-08-26 14:27:35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https://wikirate.org/~21496706</v>
      </c>
      <c r="H19" s="14" t="str">
        <f ca="1">VLOOKUP($A19&amp;$B$1,'Export 3 Oct'!$B$6:$K$851,10, FALSE)</f>
        <v>p.116: Lobbying and political influence not included in the list of disclosed topics Aureliane[https://wikirate.org/Aureliane].....2025-08-26 14:30:48 UTC</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https://wikirate.org/~21496706</v>
      </c>
      <c r="H20" s="14" t="str">
        <f ca="1">VLOOKUP($A20&amp;$B$1,'Export 3 Oct'!$B$6:$K$851,10, FALSE)</f>
        <v>p. 199 Yohann[https://wikirate.org/Yohann].....2025-08-14 16:27:53 UTC</v>
      </c>
      <c r="I20" s="12"/>
    </row>
    <row r="21" spans="1:9" ht="96">
      <c r="A21" s="13" t="s">
        <v>13</v>
      </c>
      <c r="B21" s="14" t="s">
        <v>1511</v>
      </c>
      <c r="C21" s="12" t="s">
        <v>1523</v>
      </c>
      <c r="D21" s="14" t="str">
        <f ca="1">VLOOKUP($A21&amp;$B$1,'Export 3 Oct'!$B$6:$K$851,5, FALSE)</f>
        <v>Yes</v>
      </c>
      <c r="E21" s="12" t="s">
        <v>1515</v>
      </c>
      <c r="F21" s="12"/>
      <c r="G21" s="12" t="str">
        <f ca="1">VLOOKUP($A21&amp;$B$1,'Export 3 Oct'!$B$6:$K$851,6, FALSE)</f>
        <v>https://wikirate.org/~21496706</v>
      </c>
      <c r="H21" s="14" t="str">
        <f ca="1">VLOOKUP($A21&amp;$B$1,'Export 3 Oct'!$B$6:$K$851,10, FALSE)</f>
        <v>p. 188 last paragraph on the left Yohann[https://wikirate.org/Yohann].....2025-08-14 16:31:01 UTC p. 188 HELLA reserves the right to verify suppliers' compli-ance with human rights and environmental obliga-tions through self-assessments, on-site visits and audits. If any of these audits reveal violations of the Code of Conduct, human rights or environmental requirements, corrective measures must be taken within a reasonable period of time. Aureliane[https://wikirate.org/Aureliane].....2025-08-26 14:34:24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10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6D137-2A0B-BF49-BD9A-BBFDB6C674AE}">
  <sheetPr codeName="Sheet24"/>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Helm AG</v>
      </c>
    </row>
    <row r="2" spans="1:9" ht="23">
      <c r="A2" s="8" t="s">
        <v>1616</v>
      </c>
      <c r="B2" s="18">
        <f>SUM(E5:E16)/12</f>
        <v>2.4166666666666665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https://wikirate.org/~22206380</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https://wikirate.org/~22195863</v>
      </c>
      <c r="H6" s="14"/>
      <c r="I6" s="12"/>
    </row>
    <row r="7" spans="1:9" ht="32">
      <c r="A7" s="13" t="s">
        <v>901</v>
      </c>
      <c r="B7" s="14" t="s">
        <v>1498</v>
      </c>
      <c r="C7" s="14" t="s">
        <v>1517</v>
      </c>
      <c r="D7" s="14" t="str">
        <f ca="1">VLOOKUP($A7&amp;$B$1,'Export 3 Oct'!$B$6:$K$851,5, FALSE)</f>
        <v>No</v>
      </c>
      <c r="E7" s="12">
        <v>0</v>
      </c>
      <c r="F7" s="12"/>
      <c r="G7" s="12" t="str">
        <f ca="1">VLOOKUP($A7&amp;$B$1,'Export 3 Oct'!$B$6:$K$851,6, FALSE)</f>
        <v>https://wikirate.org/~22206380</v>
      </c>
      <c r="H7" s="14"/>
      <c r="I7" s="12"/>
    </row>
    <row r="8" spans="1:9" ht="48">
      <c r="A8" s="13" t="s">
        <v>629</v>
      </c>
      <c r="B8" s="14" t="s">
        <v>1499</v>
      </c>
      <c r="C8" s="14" t="s">
        <v>1517</v>
      </c>
      <c r="D8" s="14" t="str">
        <f ca="1">VLOOKUP($A8&amp;$B$1,'Export 3 Oct'!$B$6:$K$851,5, FALSE)</f>
        <v>No</v>
      </c>
      <c r="E8" s="12">
        <v>0</v>
      </c>
      <c r="F8" s="12"/>
      <c r="G8" s="12" t="str">
        <f ca="1">VLOOKUP($A8&amp;$B$1,'Export 3 Oct'!$B$6:$K$851,6, FALSE)</f>
        <v>https://wikirate.org/~22195863</v>
      </c>
      <c r="H8" s="14" t="str">
        <f ca="1">VLOOKUP($A8&amp;$B$1,'Export 3 Oct'!$B$6:$K$851,10, FALSE)</f>
        <v>"Our whistle-blower system is also described in our Code of Conduct, which is publicly available to our employees and partners on our website." P. 53 Lucia Ixtacuy[https://wikirate.org/Lucia_Ixtacuy].....2025-08-07 12:49:13 UTC</v>
      </c>
      <c r="I8" s="12"/>
    </row>
    <row r="9" spans="1:9" ht="64">
      <c r="A9" s="13" t="s">
        <v>701</v>
      </c>
      <c r="B9" s="14" t="s">
        <v>1500</v>
      </c>
      <c r="C9" s="14" t="s">
        <v>1518</v>
      </c>
      <c r="D9" s="14" t="str">
        <f ca="1">VLOOKUP($A9&amp;$B$1,'Export 3 Oct'!$B$6:$K$851,5, FALSE)</f>
        <v>No</v>
      </c>
      <c r="E9" s="12">
        <v>0</v>
      </c>
      <c r="F9" s="12"/>
      <c r="G9" s="12" t="str">
        <f ca="1">VLOOKUP($A9&amp;$B$1,'Export 3 Oct'!$B$6:$K$851,6, FALSE)</f>
        <v>https://wikirate.org/~22206380</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https://wikirate.org/~22195863</v>
      </c>
      <c r="H10" s="14"/>
      <c r="I10" s="12"/>
    </row>
    <row r="11" spans="1:9" ht="32">
      <c r="A11" s="13" t="s">
        <v>412</v>
      </c>
      <c r="B11" s="14" t="s">
        <v>1502</v>
      </c>
      <c r="C11" s="14" t="s">
        <v>1517</v>
      </c>
      <c r="D11" s="14" t="str">
        <f ca="1">VLOOKUP($A11&amp;$B$1,'Export 3 Oct'!$B$6:$K$851,5, FALSE)</f>
        <v>No</v>
      </c>
      <c r="E11" s="12">
        <v>0</v>
      </c>
      <c r="F11" s="12"/>
      <c r="G11" s="12" t="str">
        <f ca="1">VLOOKUP($A11&amp;$B$1,'Export 3 Oct'!$B$6:$K$851,6, FALSE)</f>
        <v>https://wikirate.org/~22195863</v>
      </c>
      <c r="H11" s="14"/>
      <c r="I11" s="12"/>
    </row>
    <row r="12" spans="1:9" ht="48">
      <c r="A12" s="13" t="s">
        <v>987</v>
      </c>
      <c r="B12" s="14" t="s">
        <v>1503</v>
      </c>
      <c r="C12" s="14" t="s">
        <v>1517</v>
      </c>
      <c r="D12" s="14" t="str">
        <f ca="1">VLOOKUP($A12&amp;$B$1,'Export 3 Oct'!$B$6:$K$851,5, FALSE)</f>
        <v>No</v>
      </c>
      <c r="E12" s="12">
        <v>0</v>
      </c>
      <c r="F12" s="12"/>
      <c r="G12" s="12" t="str">
        <f ca="1">VLOOKUP($A12&amp;$B$1,'Export 3 Oct'!$B$6:$K$851,6, FALSE)</f>
        <v>https://wikirate.org/~22195863</v>
      </c>
      <c r="H12" s="14" t="str">
        <f ca="1">VLOOKUP($A12&amp;$B$1,'Export 3 Oct'!$B$6:$K$851,10, FALSE)</f>
        <v>The format of the impact report is 2 pages per PDF page. Therefore, the numbering is not aligned with the numbering of the PDF viewer. Lucia Ixtacuy[https://wikirate.org/Lucia_Ixtacuy].....2025-08-06 15:45:28 UTC</v>
      </c>
      <c r="I12" s="12"/>
    </row>
    <row r="13" spans="1:9" ht="208">
      <c r="A13" s="13" t="s">
        <v>1044</v>
      </c>
      <c r="B13" s="14" t="s">
        <v>1504</v>
      </c>
      <c r="C13" s="14" t="s">
        <v>1520</v>
      </c>
      <c r="D13" s="14" t="str">
        <f ca="1">VLOOKUP($A13&amp;$B$1,'Export 3 Oct'!$B$6:$K$851,5, FALSE)</f>
        <v>CSRD (ESRS)</v>
      </c>
      <c r="E13" s="12">
        <v>10</v>
      </c>
      <c r="F13" s="12"/>
      <c r="G13" s="12" t="str">
        <f ca="1">VLOOKUP($A13&amp;$B$1,'Export 3 Oct'!$B$6:$K$851,6, FALSE)</f>
        <v>https://wikirate.org/~22195863</v>
      </c>
      <c r="H13" s="14" t="str">
        <f ca="1">VLOOKUP($A13&amp;$B$1,'Export 3 Oct'!$B$6:$K$851,10, FALSE)</f>
        <v>p. 05 "And although we are currently under no regulatory obligation to do so, we have aligned our Impact Report with the latest European reporting standard: the CSRD (Corporate Sustainability Reporting Directive). " Lucia Ixtacuy[https://wikirate.org/Lucia_Ixtacuy].....2025-08-07 12:32:24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https://wikirate.org/~22195863</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https://wikirate.org/~22195863</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https://wikirate.org/~22195863</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https://wikirate.org/~22195863</v>
      </c>
      <c r="H18" s="14" t="str">
        <f ca="1">VLOOKUP($A18&amp;$B$1,'Export 3 Oct'!$B$6:$K$851,10, FALSE)</f>
        <v>p. 24 -27 of impact report. Lucia Ixtacuy[https://wikirate.org/Lucia_Ixtacuy].....2025-08-06 15:50:15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https://wikirate.org/~22195863</v>
      </c>
      <c r="H19" s="14" t="str">
        <f ca="1">VLOOKUP($A19&amp;$B$1,'Export 3 Oct'!$B$6:$K$851,10, FALSE)</f>
        <v>p. 27 of report "As HELM is not active in any political lobbying activities, the topic was not identi- fied as material. " Lucia Ixtacuy[https://wikirate.org/Lucia_Ixtacuy].....2025-08-06 15:51:36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https://wikirate.org/~22195863</v>
      </c>
      <c r="H20" s="14"/>
      <c r="I20" s="12"/>
    </row>
    <row r="21" spans="1:9" ht="176">
      <c r="A21" s="13" t="s">
        <v>13</v>
      </c>
      <c r="B21" s="14" t="s">
        <v>1511</v>
      </c>
      <c r="C21" s="12" t="s">
        <v>1523</v>
      </c>
      <c r="D21" s="14" t="str">
        <f ca="1">VLOOKUP($A21&amp;$B$1,'Export 3 Oct'!$B$6:$K$851,5, FALSE)</f>
        <v>Yes</v>
      </c>
      <c r="E21" s="12" t="s">
        <v>1515</v>
      </c>
      <c r="F21" s="12"/>
      <c r="G21" s="12" t="str">
        <f ca="1">VLOOKUP($A21&amp;$B$1,'Export 3 Oct'!$B$6:$K$851,6, FALSE)</f>
        <v>https://wikirate.org/~22195863</v>
      </c>
      <c r="H21" s="14" t="str">
        <f ca="1">VLOOKUP($A21&amp;$B$1,'Export 3 Oct'!$B$6:$K$851,10, FALSE)</f>
        <v>p.57 "HELM also conducts human rights audits at partner sites or requests partners to undergo sustainability training when necessary. We are monitoring whether our partners have signed our Supplier Code of Conduct or provided their own. By signing, suppliers commit to compliance with all applicable regulations, respecting and protecting human rights and adhering to social and environmental standards. Our global Health, Safety, Environment &amp; Quality (HSEQ) Team considers all these criteria in our supplier qualification and evaluation process. As a globally operating company, HELM has a great responsibility towards its partners and especially towards smaller partners (e.g. SMEs) to ensure fair payment practices. Payment terms differ depending on the industry and region. HELM consistently strives to ensure timely payments to all its partners, regardless of their size, maintaining a reputation as a reliable and trustworthy payer...." Lucia Ixtacuy[https://wikirate.org/Lucia_Ixtacuy].....2025-08-07 12:41:23 UTC</v>
      </c>
      <c r="I21" s="12"/>
    </row>
    <row r="26" spans="1:9">
      <c r="A26" s="39" t="s">
        <v>1634</v>
      </c>
    </row>
    <row r="27" spans="1:9">
      <c r="A27" s="38" t="s">
        <v>1630</v>
      </c>
      <c r="B27" s="40">
        <f>AVERAGE($E$5,$E$6,$E$7)</f>
        <v>3</v>
      </c>
    </row>
    <row r="28" spans="1:9">
      <c r="A28" s="38" t="s">
        <v>1631</v>
      </c>
      <c r="B28" s="40">
        <f>AVERAGE($E$8,$E$9)</f>
        <v>0</v>
      </c>
    </row>
    <row r="29" spans="1:9">
      <c r="A29" s="38" t="s">
        <v>1632</v>
      </c>
      <c r="B29" s="40">
        <f>AVERAGE($E$10,$E$11,$E$12,$E$13,$E$14)</f>
        <v>4</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6842C-55F7-6A48-AA78-E309CC66464A}">
  <sheetPr codeName="Sheet25"/>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Henkel AG &amp; Co. KGaA</v>
      </c>
    </row>
    <row r="2" spans="1:9" ht="23">
      <c r="A2" s="8" t="s">
        <v>1616</v>
      </c>
      <c r="B2" s="18">
        <f>SUM(E5:E16)/12</f>
        <v>5.333333333333333</v>
      </c>
    </row>
    <row r="4" spans="1:9">
      <c r="A4" s="9" t="s">
        <v>1488</v>
      </c>
      <c r="B4" s="10" t="s">
        <v>1489</v>
      </c>
      <c r="C4" s="9" t="s">
        <v>1494</v>
      </c>
      <c r="D4" s="10" t="s">
        <v>1490</v>
      </c>
      <c r="E4" s="9" t="s">
        <v>1491</v>
      </c>
      <c r="F4" s="11" t="s">
        <v>1514</v>
      </c>
      <c r="G4" s="9" t="s">
        <v>1493</v>
      </c>
      <c r="H4" s="10" t="s">
        <v>1492</v>
      </c>
      <c r="I4" s="12"/>
    </row>
    <row r="5" spans="1:9" ht="128">
      <c r="A5" s="13" t="s">
        <v>91</v>
      </c>
      <c r="B5" s="14" t="s">
        <v>1496</v>
      </c>
      <c r="C5" s="14" t="s">
        <v>1516</v>
      </c>
      <c r="D5" s="14" t="str">
        <f ca="1">VLOOKUP($A5&amp;$B$1,'Export 3 Oct'!$B$6:$K$851,5, FALSE)</f>
        <v>Own website</v>
      </c>
      <c r="E5" s="12">
        <v>5</v>
      </c>
      <c r="F5" s="12"/>
      <c r="G5" s="12" t="str">
        <f ca="1">VLOOKUP($A5&amp;$B$1,'Export 3 Oct'!$B$6:$K$851,6, FALSE)</f>
        <v>https://wikirate.org/~22211689</v>
      </c>
      <c r="H5" s="14" t="str">
        <f ca="1">VLOOKUP($A5&amp;$B$1,'Export 3 Oct'!$B$6:$K$851,10, FALSE)</f>
        <v>https://www.annualreports.com/Company/henkel https://www.henkel.com/investors-and-analysts/financial-reports/annual-reports Yohann[https://wikirate.org/Yohann].....2025-08-13 16:01:25 UTC In the case of Henkel the Non-Financial report is not part of the Annual Report which primarily focuses on financial performance. Yohann[https://wikirate.org/Yohann].....2025-08-13 16:15:25 UTC https://www.henkel.com/sustainability/sustainability-report Yohann[https://wikirate.org/Yohann].....2025-08-13 16:15:41 UTC https://www.annualreports.com/Company/henkel only shows the annual rpeort which does not contain sustainability data Aureliane[https://wikirate.org/Aureliane].....2025-08-27 11:11:50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https://wikirate.org/~22211689</v>
      </c>
      <c r="H6" s="14" t="str">
        <f ca="1">VLOOKUP($A6&amp;$B$1,'Export 3 Oct'!$B$6:$K$851,10, FALSE)</f>
        <v>https://www.henkel.com/investors-and-analysts/financial-reports/annual-reports Yohann[https://wikirate.org/Yohann].....2025-08-13 16:01:48 UTC https://www.henkel.com/sustainability/sustainability-report Yohann[https://wikirate.org/Yohann].....2025-08-13 16:16:09 UTC</v>
      </c>
      <c r="I6" s="12"/>
    </row>
    <row r="7" spans="1:9" ht="64">
      <c r="A7" s="13" t="s">
        <v>901</v>
      </c>
      <c r="B7" s="14" t="s">
        <v>1498</v>
      </c>
      <c r="C7" s="14" t="s">
        <v>1517</v>
      </c>
      <c r="D7" s="14" t="str">
        <f ca="1">VLOOKUP($A7&amp;$B$1,'Export 3 Oct'!$B$6:$K$851,5, FALSE)</f>
        <v>Yes</v>
      </c>
      <c r="E7" s="12">
        <v>10</v>
      </c>
      <c r="F7" s="12"/>
      <c r="G7" s="12" t="str">
        <f ca="1">VLOOKUP($A7&amp;$B$1,'Export 3 Oct'!$B$6:$K$851,6, FALSE)</f>
        <v>https://wikirate.org/~22211689</v>
      </c>
      <c r="H7" s="14" t="str">
        <f ca="1">VLOOKUP($A7&amp;$B$1,'Export 3 Oct'!$B$6:$K$851,10, FALSE)</f>
        <v>https://www.henkel.com/investors-and-analysts/financial-reports/annual-reports Yohann[https://wikirate.org/Yohann].....2025-08-13 16:02:18 UTC https://www.henkel.com/sustainability/sustainability-report Yohann[https://wikirate.org/Yohann].....2025-08-13 16:16:35 UTC</v>
      </c>
      <c r="I7" s="12"/>
    </row>
    <row r="8" spans="1:9" ht="64">
      <c r="A8" s="13" t="s">
        <v>629</v>
      </c>
      <c r="B8" s="14" t="s">
        <v>1499</v>
      </c>
      <c r="C8" s="14" t="s">
        <v>1517</v>
      </c>
      <c r="D8" s="14" t="str">
        <f ca="1">VLOOKUP($A8&amp;$B$1,'Export 3 Oct'!$B$6:$K$851,5, FALSE)</f>
        <v>No</v>
      </c>
      <c r="E8" s="12">
        <v>0</v>
      </c>
      <c r="F8" s="12"/>
      <c r="G8" s="12" t="str">
        <f ca="1">VLOOKUP($A8&amp;$B$1,'Export 3 Oct'!$B$6:$K$851,6, FALSE)</f>
        <v>https://wikirate.org/~21495965</v>
      </c>
      <c r="H8" s="14" t="str">
        <f ca="1">VLOOKUP($A8&amp;$B$1,'Export 3 Oct'!$B$6:$K$851,10, FALSE)</f>
        <v>I found only one link p. 142 that refers to policy mentioned but not Yohann[https://wikirate.org/Yohann].....2025-08-13 16:10:01 UTC There is a link to the website where all the policies and reports can be downloaded, but there is no direct links to each individual policy. Aureliane[https://wikirate.org/Aureliane].....2025-08-27 11:20:15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https://wikirate.org/~22211676</v>
      </c>
      <c r="H9" s="14" t="str">
        <f ca="1">VLOOKUP($A9&amp;$B$1,'Export 3 Oct'!$B$6:$K$851,10, FALSE)</f>
        <v>https://www.henkel.com/company/downloads-and-publications Yohann[https://wikirate.org/Yohann].....2025-08-13 16:11:03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https://wikirate.org/~21495965</v>
      </c>
      <c r="H10" s="14"/>
      <c r="I10" s="12"/>
    </row>
    <row r="11" spans="1:9" ht="112">
      <c r="A11" s="13" t="s">
        <v>412</v>
      </c>
      <c r="B11" s="14" t="s">
        <v>1502</v>
      </c>
      <c r="C11" s="14" t="s">
        <v>1517</v>
      </c>
      <c r="D11" s="14" t="str">
        <f ca="1">VLOOKUP($A11&amp;$B$1,'Export 3 Oct'!$B$6:$K$851,5, FALSE)</f>
        <v>Yes</v>
      </c>
      <c r="E11" s="12">
        <v>10</v>
      </c>
      <c r="F11" s="12"/>
      <c r="G11" s="12" t="str">
        <f ca="1">VLOOKUP($A11&amp;$B$1,'Export 3 Oct'!$B$6:$K$851,6, FALSE)</f>
        <v>https://wikirate.org/~21495965</v>
      </c>
      <c r="H11" s="14" t="str">
        <f ca="1">VLOOKUP($A11&amp;$B$1,'Export 3 Oct'!$B$6:$K$851,10, FALSE)</f>
        <v>"We have conducted a limited assurance engagement on the combined separate non-financial report of Henkel AG &amp; Co. KGaA, D√ºsseldorf, (hereinafter the ‚ÄûCompany‚Äú) to comply with ¬ß¬ß [Articles] 289b to 289e HGB [Handelsgesetzbuch: German Commercial Code] and ¬ß¬ß 315b to 315c HGB including the disclosures contained in this combined separate non-financial report to fulfil the requirements of Article 8 of Regulation (EU) 2020/852 (hereinafter the ‚ÄûCombined Non-Financial Reporting‚Äú) for the financial year from 1 January to 31 December 202" p. 314 Yohann[https://wikirate.org/Yohann].....2025-08-13 16:21:53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https://wikirate.org/~21495965</v>
      </c>
      <c r="H12" s="14"/>
      <c r="I12" s="12"/>
    </row>
    <row r="13" spans="1:9" ht="208">
      <c r="A13" s="13" t="s">
        <v>1044</v>
      </c>
      <c r="B13" s="14" t="s">
        <v>1504</v>
      </c>
      <c r="C13" s="14" t="s">
        <v>1520</v>
      </c>
      <c r="D13" s="14" t="str">
        <f ca="1">VLOOKUP($A13&amp;$B$1,'Export 3 Oct'!$B$6:$K$851,5, FALSE)</f>
        <v>GRI Standards, ISSB (IFRS), SASB, CSRD (ESRS), CDP, Greenhouse Gas Protocol, Other</v>
      </c>
      <c r="E13" s="12">
        <v>10</v>
      </c>
      <c r="F13" s="12"/>
      <c r="G13" s="12" t="str">
        <f ca="1">VLOOKUP($A13&amp;$B$1,'Export 3 Oct'!$B$6:$K$851,6, FALSE)</f>
        <v>https://wikirate.org/~21495965</v>
      </c>
      <c r="H13" s="14" t="str">
        <f ca="1">VLOOKUP($A13&amp;$B$1,'Export 3 Oct'!$B$6:$K$851,10, FALSE)</f>
        <v>"The list of sustainability topics was developed using a combined approach of secondary research and collab- oration with topic initiative (co-)leads. In this process, the table of sustainability topics according to ESRS 1 AR 16 was used, along with additional sources such as the content of previous Henkel sustainability reports, external frameworks (for example Sustainability Accounting Standards Board [SASB], International Sustainability Standards Board [ISSB], Global Reporting Initiative [GRI], Sustainable Development Goals [SDGs]) and other references such as ratings from EcoVadis and the Carbon Disclosure Project (CDP). Henkel‚Äôs annual reports, the Sustainability Finance Disclosure Regulation (SFDR) and the Company‚Äôs business priorities were also considered." p. 89 "Accounting policy The EU Taxonomy comprises three key performance indicators (KPI): turnover, operating expenditures (OpEx) and capital expenditures (CapEx). The definition and the subsequent determination of these KPIs under the EU Taxono...</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https://wikirate.org/~21495965</v>
      </c>
      <c r="H14" s="14" t="str">
        <f ca="1">VLOOKUP($A14&amp;$B$1,'Export 3 Oct'!$B$6:$K$851,10, FALSE)</f>
        <v>alongside disclosures ex p. 24 index pp. 105/108 Yohann[https://wikirate.org/Yohann].....2025-08-13 16:31:58 UTC Example p. 178 Impact, risk and opportunity management Policies related to water and marine resources (E3-1) Key content of the policy (E3-1_11, MDR-P_65a, E3-1_12a, E3-1_12a i, E3-1_12a ii, E3-1_12b, 12c, E3-1_13) Aureliane[https://wikirate.org/Aureliane].....2025-08-27 11:40:19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https://wikirate.org/~21495965</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https://wikirate.org/~21495965</v>
      </c>
      <c r="H16" s="14"/>
      <c r="I16" s="12"/>
    </row>
    <row r="17" spans="1:9">
      <c r="A17" s="15" t="s">
        <v>1512</v>
      </c>
      <c r="B17" s="16"/>
      <c r="C17" s="17"/>
      <c r="D17" s="16"/>
      <c r="E17" s="17"/>
      <c r="F17" s="17"/>
      <c r="G17" s="17"/>
      <c r="H17" s="16"/>
      <c r="I17" s="12"/>
    </row>
    <row r="18" spans="1:9" ht="96">
      <c r="A18" s="13" t="s">
        <v>1195</v>
      </c>
      <c r="B18" s="14" t="s">
        <v>1508</v>
      </c>
      <c r="C18" s="12" t="s">
        <v>1523</v>
      </c>
      <c r="D18" s="14" t="str">
        <f ca="1">VLOOKUP($A18&amp;$B$1,'Export 3 Oct'!$B$6:$K$851,5, FALSE)</f>
        <v>Yes</v>
      </c>
      <c r="E18" s="12" t="s">
        <v>1515</v>
      </c>
      <c r="F18" s="12"/>
      <c r="G18" s="12" t="str">
        <f ca="1">VLOOKUP($A18&amp;$B$1,'Export 3 Oct'!$B$6:$K$851,6, FALSE)</f>
        <v>https://wikirate.org/~21495965</v>
      </c>
      <c r="H18" s="14" t="str">
        <f ca="1">VLOOKUP($A18&amp;$B$1,'Export 3 Oct'!$B$6:$K$851,10, FALSE)</f>
        <v>"Integration of the process for identifying, assessing and managing impacts and risks into the risk management process (IRO-1_53e) The sustainability-related risks identified during the materiality assessment have been integrated into the risk management and enterprise-wide risk reporting process. The financial threshold for classifying a risk as material within the framework of the double materiality assessment has been aligned with the thresholds used in the risk management process." p. 94 Yohann[https://wikirate.org/Yohann].....2025-08-13 16:37:44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https://wikirate.org/~21495965</v>
      </c>
      <c r="H19" s="14" t="str">
        <f ca="1">VLOOKUP($A19&amp;$B$1,'Export 3 Oct'!$B$6:$K$851,10, FALSE)</f>
        <v>p.57: Political engagement is not material Aureliane[https://wikirate.org/Aureliane].....2025-08-27 11:44:18 UTC</v>
      </c>
      <c r="I19" s="12"/>
    </row>
    <row r="20" spans="1:9" ht="112">
      <c r="A20" s="13" t="s">
        <v>814</v>
      </c>
      <c r="B20" s="14" t="s">
        <v>1510</v>
      </c>
      <c r="C20" s="14" t="s">
        <v>1524</v>
      </c>
      <c r="D20" s="14" t="str">
        <f ca="1">VLOOKUP($A20&amp;$B$1,'Export 3 Oct'!$B$6:$K$851,5, FALSE)</f>
        <v>Limited assurance</v>
      </c>
      <c r="E20" s="12" t="s">
        <v>1515</v>
      </c>
      <c r="F20" s="12"/>
      <c r="G20" s="12" t="str">
        <f ca="1">VLOOKUP($A20&amp;$B$1,'Export 3 Oct'!$B$6:$K$851,6, FALSE)</f>
        <v>https://wikirate.org/~21495965</v>
      </c>
      <c r="H20" s="14" t="str">
        <f ca="1">VLOOKUP($A20&amp;$B$1,'Export 3 Oct'!$B$6:$K$851,10, FALSE)</f>
        <v>"We have conducted a limited assurance engagement on the combined separate non-financial report of Henkel AG &amp; Co. KGaA, D√ºsseldorf, (hereinafter the ‚ÄûCompany‚Äú) to comply with ¬ß¬ß [Articles] 289b to 289e HGB [Handelsgesetzbuch: German Commercial Code] and ¬ß¬ß 315b to 315c HGB including the disclosures contained in this combined separate non-financial report to fulfil the requirements of Article 8 of Regulation (EU) 2020/852 (hereinafter the ‚ÄûCombined Non-Financial Reporting‚Äú) for the financial year from 1 January to 31 December 2024." p. 314 Yohann[https://wikirate.org/Yohann].....2025-08-13 16:40:09 UTC</v>
      </c>
      <c r="I20" s="12"/>
    </row>
    <row r="21" spans="1:9" ht="96">
      <c r="A21" s="13" t="s">
        <v>13</v>
      </c>
      <c r="B21" s="14" t="s">
        <v>1511</v>
      </c>
      <c r="C21" s="12" t="s">
        <v>1523</v>
      </c>
      <c r="D21" s="14" t="str">
        <f ca="1">VLOOKUP($A21&amp;$B$1,'Export 3 Oct'!$B$6:$K$851,5, FALSE)</f>
        <v>Yes</v>
      </c>
      <c r="E21" s="12" t="s">
        <v>1515</v>
      </c>
      <c r="F21" s="12"/>
      <c r="G21" s="12" t="str">
        <f ca="1">VLOOKUP($A21&amp;$B$1,'Export 3 Oct'!$B$6:$K$851,6, FALSE)</f>
        <v>https://wikirate.org/~21495965</v>
      </c>
      <c r="H21" s="14" t="str">
        <f ca="1">VLOOKUP($A21&amp;$B$1,'Export 3 Oct'!$B$6:$K$851,10, FALSE)</f>
        <v>"Henkel monitors its suppliers and conducts regular assessments as part of the responsible sourcing process. Henkel requests suppliers to complete assessments and/or disclose relevant policies and procedures, data and/or other information. In selected cases, Henkel also conducts on-site audits of suppliers‚Äô business oper- ations to check the conformity of business activities with the specified requirements. " p. 268 Yohann[https://wikirate.org/Yohann].....2025-08-13 16:41:03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BC27-BB98-9047-B2B4-C2070CEE65EF}">
  <dimension ref="A1:B51"/>
  <sheetViews>
    <sheetView workbookViewId="0">
      <selection activeCell="A42" sqref="A42:A51"/>
    </sheetView>
  </sheetViews>
  <sheetFormatPr baseColWidth="10" defaultRowHeight="16"/>
  <cols>
    <col min="1" max="1" width="23.33203125" bestFit="1" customWidth="1"/>
    <col min="2" max="2" width="24" customWidth="1"/>
  </cols>
  <sheetData>
    <row r="1" spans="1:2">
      <c r="A1" s="2" t="s">
        <v>4</v>
      </c>
      <c r="B1" s="2" t="s">
        <v>1628</v>
      </c>
    </row>
    <row r="2" spans="1:2">
      <c r="A2" s="26" t="s">
        <v>112</v>
      </c>
      <c r="B2" s="25" t="s">
        <v>1622</v>
      </c>
    </row>
    <row r="3" spans="1:2">
      <c r="A3" s="26" t="s">
        <v>92</v>
      </c>
      <c r="B3" s="25" t="s">
        <v>1622</v>
      </c>
    </row>
    <row r="4" spans="1:2">
      <c r="A4" s="26" t="s">
        <v>118</v>
      </c>
      <c r="B4" s="25" t="s">
        <v>1622</v>
      </c>
    </row>
    <row r="5" spans="1:2">
      <c r="A5" s="26" t="s">
        <v>1623</v>
      </c>
      <c r="B5" s="25" t="s">
        <v>1622</v>
      </c>
    </row>
    <row r="6" spans="1:2">
      <c r="A6" s="1" t="s">
        <v>102</v>
      </c>
      <c r="B6" s="25" t="s">
        <v>1622</v>
      </c>
    </row>
    <row r="7" spans="1:2">
      <c r="A7" s="26" t="s">
        <v>1618</v>
      </c>
      <c r="B7" s="25" t="s">
        <v>1622</v>
      </c>
    </row>
    <row r="8" spans="1:2">
      <c r="A8" s="26" t="s">
        <v>126</v>
      </c>
      <c r="B8" s="25" t="s">
        <v>1622</v>
      </c>
    </row>
    <row r="9" spans="1:2">
      <c r="A9" s="26" t="s">
        <v>152</v>
      </c>
      <c r="B9" s="25" t="s">
        <v>1622</v>
      </c>
    </row>
    <row r="10" spans="1:2">
      <c r="A10" s="26" t="s">
        <v>138</v>
      </c>
      <c r="B10" s="25" t="s">
        <v>1622</v>
      </c>
    </row>
    <row r="11" spans="1:2">
      <c r="A11" s="26" t="s">
        <v>142</v>
      </c>
      <c r="B11" s="25" t="s">
        <v>1622</v>
      </c>
    </row>
    <row r="12" spans="1:2">
      <c r="A12" s="26" t="s">
        <v>129</v>
      </c>
      <c r="B12" s="27" t="s">
        <v>1624</v>
      </c>
    </row>
    <row r="13" spans="1:2">
      <c r="A13" s="26" t="s">
        <v>135</v>
      </c>
      <c r="B13" s="27" t="s">
        <v>1624</v>
      </c>
    </row>
    <row r="14" spans="1:2">
      <c r="A14" s="26" t="s">
        <v>168</v>
      </c>
      <c r="B14" s="27" t="s">
        <v>1624</v>
      </c>
    </row>
    <row r="15" spans="1:2">
      <c r="A15" s="26" t="s">
        <v>197</v>
      </c>
      <c r="B15" s="27" t="s">
        <v>1624</v>
      </c>
    </row>
    <row r="16" spans="1:2">
      <c r="A16" s="26" t="s">
        <v>1405</v>
      </c>
      <c r="B16" s="27" t="s">
        <v>1624</v>
      </c>
    </row>
    <row r="17" spans="1:2">
      <c r="A17" s="26" t="s">
        <v>145</v>
      </c>
      <c r="B17" s="27" t="s">
        <v>1624</v>
      </c>
    </row>
    <row r="18" spans="1:2">
      <c r="A18" s="1" t="s">
        <v>155</v>
      </c>
      <c r="B18" s="27" t="s">
        <v>1624</v>
      </c>
    </row>
    <row r="19" spans="1:2">
      <c r="A19" s="26" t="s">
        <v>65</v>
      </c>
      <c r="B19" s="27" t="s">
        <v>1624</v>
      </c>
    </row>
    <row r="20" spans="1:2">
      <c r="A20" s="26" t="s">
        <v>148</v>
      </c>
      <c r="B20" s="27" t="s">
        <v>1624</v>
      </c>
    </row>
    <row r="21" spans="1:2">
      <c r="A21" s="26" t="s">
        <v>191</v>
      </c>
      <c r="B21" s="27" t="s">
        <v>1624</v>
      </c>
    </row>
    <row r="22" spans="1:2">
      <c r="A22" s="26" t="s">
        <v>108</v>
      </c>
      <c r="B22" s="28" t="s">
        <v>1625</v>
      </c>
    </row>
    <row r="23" spans="1:2">
      <c r="A23" s="26" t="s">
        <v>87</v>
      </c>
      <c r="B23" s="28" t="s">
        <v>1625</v>
      </c>
    </row>
    <row r="24" spans="1:2">
      <c r="A24" s="26" t="s">
        <v>172</v>
      </c>
      <c r="B24" s="28" t="s">
        <v>1625</v>
      </c>
    </row>
    <row r="25" spans="1:2">
      <c r="A25" s="26" t="s">
        <v>201</v>
      </c>
      <c r="B25" s="28" t="s">
        <v>1625</v>
      </c>
    </row>
    <row r="26" spans="1:2">
      <c r="A26" s="26" t="s">
        <v>49</v>
      </c>
      <c r="B26" s="28" t="s">
        <v>1625</v>
      </c>
    </row>
    <row r="27" spans="1:2">
      <c r="A27" s="26" t="s">
        <v>45</v>
      </c>
      <c r="B27" s="28" t="s">
        <v>1625</v>
      </c>
    </row>
    <row r="28" spans="1:2">
      <c r="A28" s="26" t="s">
        <v>164</v>
      </c>
      <c r="B28" s="28" t="s">
        <v>1625</v>
      </c>
    </row>
    <row r="29" spans="1:2">
      <c r="A29" s="26" t="s">
        <v>24</v>
      </c>
      <c r="B29" s="28" t="s">
        <v>1625</v>
      </c>
    </row>
    <row r="30" spans="1:2">
      <c r="A30" s="26" t="s">
        <v>132</v>
      </c>
      <c r="B30" s="28" t="s">
        <v>1625</v>
      </c>
    </row>
    <row r="31" spans="1:2">
      <c r="A31" s="26" t="s">
        <v>194</v>
      </c>
      <c r="B31" s="28" t="s">
        <v>1625</v>
      </c>
    </row>
    <row r="32" spans="1:2">
      <c r="A32" s="26" t="s">
        <v>57</v>
      </c>
      <c r="B32" s="29" t="s">
        <v>1626</v>
      </c>
    </row>
    <row r="33" spans="1:2">
      <c r="A33" s="26" t="s">
        <v>71</v>
      </c>
      <c r="B33" s="29" t="s">
        <v>1626</v>
      </c>
    </row>
    <row r="34" spans="1:2">
      <c r="A34" s="26" t="s">
        <v>14</v>
      </c>
      <c r="B34" s="29" t="s">
        <v>1626</v>
      </c>
    </row>
    <row r="35" spans="1:2">
      <c r="A35" s="26" t="s">
        <v>177</v>
      </c>
      <c r="B35" s="29" t="s">
        <v>1626</v>
      </c>
    </row>
    <row r="36" spans="1:2">
      <c r="A36" s="26" t="s">
        <v>20</v>
      </c>
      <c r="B36" s="29" t="s">
        <v>1626</v>
      </c>
    </row>
    <row r="37" spans="1:2">
      <c r="A37" s="26" t="s">
        <v>83</v>
      </c>
      <c r="B37" s="29" t="s">
        <v>1626</v>
      </c>
    </row>
    <row r="38" spans="1:2">
      <c r="A38" s="26" t="s">
        <v>61</v>
      </c>
      <c r="B38" s="29" t="s">
        <v>1626</v>
      </c>
    </row>
    <row r="39" spans="1:2">
      <c r="A39" s="26" t="s">
        <v>29</v>
      </c>
      <c r="B39" s="29" t="s">
        <v>1626</v>
      </c>
    </row>
    <row r="40" spans="1:2">
      <c r="A40" s="26" t="s">
        <v>182</v>
      </c>
      <c r="B40" s="29" t="s">
        <v>1626</v>
      </c>
    </row>
    <row r="41" spans="1:2">
      <c r="A41" s="26" t="s">
        <v>68</v>
      </c>
      <c r="B41" s="29" t="s">
        <v>1626</v>
      </c>
    </row>
    <row r="42" spans="1:2">
      <c r="A42" s="26" t="s">
        <v>79</v>
      </c>
      <c r="B42" s="30" t="s">
        <v>1627</v>
      </c>
    </row>
    <row r="43" spans="1:2">
      <c r="A43" s="26" t="s">
        <v>53</v>
      </c>
      <c r="B43" s="30" t="s">
        <v>1627</v>
      </c>
    </row>
    <row r="44" spans="1:2">
      <c r="A44" s="26" t="s">
        <v>74</v>
      </c>
      <c r="B44" s="30" t="s">
        <v>1627</v>
      </c>
    </row>
    <row r="45" spans="1:2">
      <c r="A45" s="26" t="s">
        <v>42</v>
      </c>
      <c r="B45" s="30" t="s">
        <v>1627</v>
      </c>
    </row>
    <row r="46" spans="1:2">
      <c r="A46" s="26" t="s">
        <v>208</v>
      </c>
      <c r="B46" s="30" t="s">
        <v>1627</v>
      </c>
    </row>
    <row r="47" spans="1:2">
      <c r="A47" s="26" t="s">
        <v>123</v>
      </c>
      <c r="B47" s="30" t="s">
        <v>1627</v>
      </c>
    </row>
    <row r="48" spans="1:2">
      <c r="A48" s="26" t="s">
        <v>1412</v>
      </c>
      <c r="B48" s="30" t="s">
        <v>1627</v>
      </c>
    </row>
    <row r="49" spans="1:2">
      <c r="A49" s="26" t="s">
        <v>38</v>
      </c>
      <c r="B49" s="30" t="s">
        <v>1627</v>
      </c>
    </row>
    <row r="50" spans="1:2">
      <c r="A50" s="26" t="s">
        <v>1408</v>
      </c>
      <c r="B50" s="30" t="s">
        <v>1627</v>
      </c>
    </row>
    <row r="51" spans="1:2">
      <c r="A51" s="26" t="s">
        <v>33</v>
      </c>
      <c r="B51" s="30" t="s">
        <v>1627</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E8BF4-F829-8149-9CDC-D34A20DDC6CC}">
  <sheetPr codeName="Sheet26"/>
  <dimension ref="A1:I30"/>
  <sheetViews>
    <sheetView topLeftCell="A6" workbookViewId="0">
      <selection activeCell="F12" sqref="F12"/>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Hensoldt AG</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https://wikirate.org/~22219192</v>
      </c>
      <c r="H5" s="14" t="str">
        <f ca="1">VLOOKUP($A5&amp;$B$1,'Export 3 Oct'!$B$6:$K$851,10, FALSE)</f>
        <v>https://investors.hensoldt.net/publications Lucia Ixtacuy[https://wikirate.org/Lucia_Ixtacuy].....2025-08-15 11:26:18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https://wikirate.org/~21496937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https://wikirate.org/~22219192</v>
      </c>
      <c r="H7" s="14" t="str">
        <f ca="1">VLOOKUP($A7&amp;$B$1,'Export 3 Oct'!$B$6:$K$851,10, FALSE)</f>
        <v>https://investors.hensoldt.net/publications Lucia Ixtacuy[https://wikirate.org/Lucia_Ixtacuy].....2025-08-15 11:25:50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https://wikirate.org/~21496937</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https://wikirate.org/~22219245</v>
      </c>
      <c r="H9" s="14"/>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https://wikirate.org/~21496937</v>
      </c>
      <c r="H10" s="14" t="str">
        <f ca="1">VLOOKUP($A10&amp;$B$1,'Export 3 Oct'!$B$6:$K$851,10, FALSE)</f>
        <v>only in reference to the main company: "The HENSOLDT Group consists of HENSOLDT AG (the ‚ÄúCompany‚Äù) with its official office in Taufkirchen, Germany, (registered office: Willy-Messerschmitt-Str. 3, 82024 Taufkirchen, Germany, under entry no. HRB 258711, Munich Local Court) and its subsidiaries." p. 20 "ISIN: DE000HAG0005" P. 13 Lucia Ixtacuy[https://wikirate.org/Lucia_Ixtacuy].....2025-08-14 13:56:29 UTC</v>
      </c>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https://wikirate.org/~21496937</v>
      </c>
      <c r="H11" s="14" t="str">
        <f ca="1">VLOOKUP($A11&amp;$B$1,'Export 3 Oct'!$B$6:$K$851,10, FALSE)</f>
        <v>"This Sustainability Report for the period 1 January until 31 December 2024 is the first one to be prepared in accordance with the ESRS. As a result, metrics and definitions from the previous year are not comparable and are therefore not provided for the first reporting year." p. 52 Lucia Ixtacuy[https://wikirate.org/Lucia_Ixtacuy].....2025-08-14 14:02:32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https://wikirate.org/~21496937</v>
      </c>
      <c r="H12" s="14"/>
      <c r="I12" s="12"/>
    </row>
    <row r="13" spans="1:9" ht="208">
      <c r="A13" s="13" t="s">
        <v>1044</v>
      </c>
      <c r="B13" s="14" t="s">
        <v>1504</v>
      </c>
      <c r="C13" s="14" t="s">
        <v>1520</v>
      </c>
      <c r="D13" s="14" t="str">
        <f ca="1">VLOOKUP($A13&amp;$B$1,'Export 3 Oct'!$B$6:$K$851,5, FALSE)</f>
        <v>CSRD (ESRS), Greenhouse Gas Protocol, National standards</v>
      </c>
      <c r="E13" s="12">
        <v>10</v>
      </c>
      <c r="F13" s="12"/>
      <c r="G13" s="12" t="str">
        <f ca="1">VLOOKUP($A13&amp;$B$1,'Export 3 Oct'!$B$6:$K$851,6, FALSE)</f>
        <v>https://wikirate.org/~21496937</v>
      </c>
      <c r="H13" s="14" t="str">
        <f ca="1">VLOOKUP($A13&amp;$B$1,'Export 3 Oct'!$B$6:$K$851,10, FALSE)</f>
        <v>"These Consolidated Financial Statements were prepared in accordance with the International Financial Reporting Standards (IFRSs) and related interpretations of the International Accounting Standards Board (IASB) as adopted by the European Union (EU) and, as a supplement, in accordance with the requirements of section 315e (1) of the German Commercial Code (HGB)." P. 15 "The Consolidated Sustainability Statement was prepared to fulfil the requirements of Directive (EU) 2022/2464 of the European Parliament and of the Council of 14 December 2022 (Corporate Sustainability Reporting Directive, CSRD) and Article 8 of Regulation (EU) 2020/852 as well as Sections 315b and 315c of the HGB [Handelsgesetzbuch: German Commercial Code] for a consolidated non- financial statement. " P. 15 "The report has been prepared for the first time in accordance with the first set of European Sustainability Reporting Standards (ESRS). The report can be found in the Combined Management Report under V Sustainability Report." Lucia I...</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https://wikirate.org/~21496937</v>
      </c>
      <c r="H14" s="14" t="str">
        <f ca="1">VLOOKUP($A14&amp;$B$1,'Export 3 Oct'!$B$6:$K$851,10, FALSE)</f>
        <v>index starting p. 102 alongside example p. 62 Lucia Ixtacuy[https://wikirate.org/Lucia_Ixtacuy].....2025-08-14 13:48:59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https://wikirate.org/~21496937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https://wikirate.org/~21496937</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https://wikirate.org/~21496937</v>
      </c>
      <c r="H18" s="14" t="str">
        <f ca="1">VLOOKUP($A18&amp;$B$1,'Export 3 Oct'!$B$6:$K$851,10, FALSE)</f>
        <v>p. 64 Lucia Ixtacuy[https://wikirate.org/Lucia_Ixtacuy].....2025-08-14 12:31:13 UTC</v>
      </c>
      <c r="I18" s="12"/>
    </row>
    <row r="19" spans="1:9" ht="80">
      <c r="A19" s="13" t="s">
        <v>1280</v>
      </c>
      <c r="B19" s="14" t="s">
        <v>1509</v>
      </c>
      <c r="C19" s="12" t="s">
        <v>1523</v>
      </c>
      <c r="D19" s="14" t="str">
        <f ca="1">VLOOKUP($A19&amp;$B$1,'Export 3 Oct'!$B$6:$K$851,5, FALSE)</f>
        <v>Yes</v>
      </c>
      <c r="E19" s="12" t="s">
        <v>1515</v>
      </c>
      <c r="F19" s="12"/>
      <c r="G19" s="12" t="str">
        <f ca="1">VLOOKUP($A19&amp;$B$1,'Export 3 Oct'!$B$6:$K$851,6, FALSE)</f>
        <v>https://wikirate.org/~21496937</v>
      </c>
      <c r="H19" s="14" t="str">
        <f ca="1">VLOOKUP($A19&amp;$B$1,'Export 3 Oct'!$B$6:$K$851,10, FALSE)</f>
        <v>Table on p. 100 "In the fiscal year 2024, HENSOLDT made the following contributions: ..." p. 101: " HENSOLDT did not provide any in-kind contributions or donations to political parties in fiscal year 2024. As part of the sustainability reporting, the relevant data was requested from the entities on the basis of ESRS G1-5 and listed cumulatively." Lucia Ixtacuy[https://wikirate.org/Lucia_Ixtacuy].....2025-08-14 12:32:34 UTC</v>
      </c>
      <c r="I19" s="12"/>
    </row>
    <row r="20" spans="1:9" ht="192">
      <c r="A20" s="13" t="s">
        <v>814</v>
      </c>
      <c r="B20" s="14" t="s">
        <v>1510</v>
      </c>
      <c r="C20" s="14" t="s">
        <v>1524</v>
      </c>
      <c r="D20" s="14" t="str">
        <f ca="1">VLOOKUP($A20&amp;$B$1,'Export 3 Oct'!$B$6:$K$851,5, FALSE)</f>
        <v>No assurance given</v>
      </c>
      <c r="E20" s="12" t="s">
        <v>1515</v>
      </c>
      <c r="F20" s="12"/>
      <c r="G20" s="12" t="str">
        <f ca="1">VLOOKUP($A20&amp;$B$1,'Export 3 Oct'!$B$6:$K$851,6, FALSE)</f>
        <v>https://wikirate.org/~21496937</v>
      </c>
      <c r="H20" s="14" t="str">
        <f ca="1">VLOOKUP($A20&amp;$B$1,'Export 3 Oct'!$B$6:$K$851,10, FALSE)</f>
        <v>p. 219 "Other Information Management respectively supervisory board are responsible for the other information. The other information comprises the following components of the combined management report, whose content was not audited: ‚ñ™ the sustainability report, including the combined non-financial statement included in section V. of the combined management report, ‚ñ™ the combined corporate governance statement of the company and the group included in section VII. of the combined management report, and ‚ñ™ information extraneous to management reports and marked as unaudited." Lucia Ixtacuy[https://wikirate.org/Lucia_Ixtacuy].....2025-08-15 12:22:54 UTC Oddly.. p. 224: "We have conducted a limited assurance engagement on the Consolidated Sustainability Statement, included in section ‚ÄúV. Sustainability report‚Äù of the group management report, of HENSOLDT AG, Taufkirchen (hereinafter ‚ÄúCompany‚Äù or ‚ÄúHENSOLDT‚Äù), for the financial year from 1 January to 31 December 2024." Seeing these statements contradict one anothe...</v>
      </c>
      <c r="I20" s="12"/>
    </row>
    <row r="21" spans="1:9" ht="160">
      <c r="A21" s="13" t="s">
        <v>13</v>
      </c>
      <c r="B21" s="14" t="s">
        <v>1511</v>
      </c>
      <c r="C21" s="12" t="s">
        <v>1523</v>
      </c>
      <c r="D21" s="14" t="str">
        <f ca="1">VLOOKUP($A21&amp;$B$1,'Export 3 Oct'!$B$6:$K$851,5, FALSE)</f>
        <v>Yes</v>
      </c>
      <c r="E21" s="12" t="s">
        <v>1515</v>
      </c>
      <c r="F21" s="12"/>
      <c r="G21" s="12" t="str">
        <f ca="1">VLOOKUP($A21&amp;$B$1,'Export 3 Oct'!$B$6:$K$851,6, FALSE)</f>
        <v>https://wikirate.org/~21496937</v>
      </c>
      <c r="H21" s="14" t="str">
        <f ca="1">VLOOKUP($A21&amp;$B$1,'Export 3 Oct'!$B$6:$K$851,10, FALSE)</f>
        <v>p. 58 " The Code of Conduct applies to all employees, suppliers and business partners. Strict anti-corruption guidelines, regular training and audits as well as a robust whistle-blower system are designed to promote fair business practices and prevent offences." Lucia Ixtacuy[https://wikirate.org/Lucia_Ixtacuy].....2025-08-14 12:42:11 UTC p. 81 ""Suppliers: HENSOLDT is strongly committed to working closely with suppliers to ensure that high ethical, environmental and social responsibility standards are maintained throughout the supply chain. HENSOLDT selects its partners carefully and expects them to share the HENSOLDT values and abide by the HENSOLDT compliance guidelines. Audits and assessments conducted on an ad hoc basis help to check and continuously improve compliance with these standards. Lucia Ixtacuy[https://wikirate.org/Lucia_Ixtacuy].....2025-08-14 12:58:35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10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EDA80-FE85-5748-9642-E2ED54681945}">
  <sheetPr codeName="Sheet27"/>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Jenoptik AG</v>
      </c>
    </row>
    <row r="2" spans="1:9" ht="23">
      <c r="A2" s="8" t="s">
        <v>1616</v>
      </c>
      <c r="B2" s="18">
        <f>SUM(E5:E16)/12</f>
        <v>5.333333333333333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https://wikirate.org/~22205857</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https://wikirate.org/~21475740</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https://wikirate.org/~22205857</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https://wikirate.org/~21475740</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https://wikirate.org/~21475740</v>
      </c>
      <c r="H9" s="14" t="str">
        <f ca="1">VLOOKUP($A9&amp;$B$1,'Export 3 Oct'!$B$6:$K$851,10, FALSE)</f>
        <v>https://www.jenoptik.us/sustainability Aureliane[https://wikirate.org/Aureliane].....2025-09-01 10:42:18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https://wikirate.org/~21475740</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https://wikirate.org/~21475740</v>
      </c>
      <c r="H11" s="14" t="str">
        <f ca="1">VLOOKUP($A11&amp;$B$1,'Export 3 Oct'!$B$6:$K$851,10, FALSE)</f>
        <v>The fiscal year 2024 is mentioned in different places, no specific mention of the coverage made Lucia Ixtacuy[https://wikirate.org/Lucia_Ixtacuy].....2025-08-06 14:32:57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https://wikirate.org/~21475740</v>
      </c>
      <c r="H12" s="14"/>
      <c r="I12" s="12"/>
    </row>
    <row r="13" spans="1:9" ht="208">
      <c r="A13" s="13" t="s">
        <v>1044</v>
      </c>
      <c r="B13" s="14" t="s">
        <v>1504</v>
      </c>
      <c r="C13" s="14" t="s">
        <v>1520</v>
      </c>
      <c r="D13" s="14" t="str">
        <f ca="1">VLOOKUP($A13&amp;$B$1,'Export 3 Oct'!$B$6:$K$851,5, FALSE)</f>
        <v>CSRD (ESRS)</v>
      </c>
      <c r="E13" s="12">
        <v>10</v>
      </c>
      <c r="F13" s="12"/>
      <c r="G13" s="12" t="str">
        <f ca="1">VLOOKUP($A13&amp;$B$1,'Export 3 Oct'!$B$6:$K$851,6, FALSE)</f>
        <v>https://wikirate.org/~21475740</v>
      </c>
      <c r="H13" s="14" t="str">
        <f ca="1">VLOOKUP($A13&amp;$B$1,'Export 3 Oct'!$B$6:$K$851,10, FALSE)</f>
        <v>P. 95 "The Investor Relations &amp; Sustainability department coordinates groupwide sustainability reporting, which covers all quantitative and qualitative requirements of the CSRD and is responsible for managing the sustainability reporting process" Lucia Ixtacuy[https://wikirate.org/Lucia_Ixtacuy].....2025-08-06 14:37:24 UTC Not using GRI anymore p. 88 The reporting requirementspursuant to Article 8 of the EU Taxonomy Regulation relating to the disclosure of environmentally sustainable business activities are also fulfilled, while in prior years the GRI standard served as an orientation aid and reporting was carried out in accordance with the requirements of the CRS-RL-UG. Aureliane[https://wikirate.org/Aureliane].....2025-09-01 10:45:24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https://wikirate.org/~21475740</v>
      </c>
      <c r="H14" s="14" t="str">
        <f ca="1">VLOOKUP($A14&amp;$B$1,'Export 3 Oct'!$B$6:$K$851,10, FALSE)</f>
        <v>p. 105, 106 Lucia Ixtacuy[https://wikirate.org/Lucia_Ixtacuy].....2025-08-06 14:52:54 UTC They have several smaller indexes through out the report (also see p 87) Laureen van Breen[https://wikirate.org/Laureen_van_Breen].....2025-09-22 07:13:31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https://wikirate.org/~21475740</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https://wikirate.org/~21475740</v>
      </c>
      <c r="H16" s="14"/>
      <c r="I16" s="12"/>
    </row>
    <row r="17" spans="1:9">
      <c r="A17" s="15" t="s">
        <v>1512</v>
      </c>
      <c r="B17" s="16"/>
      <c r="C17" s="17"/>
      <c r="D17" s="16"/>
      <c r="E17" s="17"/>
      <c r="F17" s="17"/>
      <c r="G17" s="17"/>
      <c r="H17" s="16"/>
      <c r="I17" s="12"/>
    </row>
    <row r="18" spans="1:9" ht="176">
      <c r="A18" s="13" t="s">
        <v>1195</v>
      </c>
      <c r="B18" s="14" t="s">
        <v>1508</v>
      </c>
      <c r="C18" s="12" t="s">
        <v>1523</v>
      </c>
      <c r="D18" s="14" t="str">
        <f ca="1">VLOOKUP($A18&amp;$B$1,'Export 3 Oct'!$B$6:$K$851,5, FALSE)</f>
        <v>Yes</v>
      </c>
      <c r="E18" s="12" t="s">
        <v>1515</v>
      </c>
      <c r="F18" s="12"/>
      <c r="G18" s="12" t="str">
        <f ca="1">VLOOKUP($A18&amp;$B$1,'Export 3 Oct'!$B$6:$K$851,6, FALSE)</f>
        <v>https://wikirate.org/~21475740</v>
      </c>
      <c r="H18" s="14" t="str">
        <f ca="1">VLOOKUP($A18&amp;$B$1,'Export 3 Oct'!$B$6:$K$851,10, FALSE)</f>
        <v>p. 99-101,.. "To identify the potential and actual impacts, risks, and opportunities key to Jenoptik, a double materiality analysis was carried out in the past fiscal year in accordance with the requirements of the European Sustainability Reporting Standards (ESRS). The Group perspective was adopted, and the upstream and downstream value chain was included in the analysis alongside the company‚Äôs own business activities. Any differences in terms of regionality or segments were documented, but did not result in different evaluations. The method for conducting the double materiality analysis corresponds to the evaluation of the two dimensions ‚Äúimpact on people and the environment‚Äù and ‚Äúfinancial materiality‚Äù for Jenoptik as required by ESRS. The assessment of the impacts on people and the environment, including the risks regarding human rights violations, and the assessment of the financial materiality in terms of risks and opportunities, is based on the methodology used in the groupwide risk management syste...</v>
      </c>
      <c r="I18" s="12"/>
    </row>
    <row r="19" spans="1:9" ht="128">
      <c r="A19" s="13" t="s">
        <v>1280</v>
      </c>
      <c r="B19" s="14" t="s">
        <v>1509</v>
      </c>
      <c r="C19" s="12" t="s">
        <v>1523</v>
      </c>
      <c r="D19" s="14" t="str">
        <f ca="1">VLOOKUP($A19&amp;$B$1,'Export 3 Oct'!$B$6:$K$851,5, FALSE)</f>
        <v>No</v>
      </c>
      <c r="E19" s="12" t="s">
        <v>1515</v>
      </c>
      <c r="F19" s="12"/>
      <c r="G19" s="12" t="str">
        <f ca="1">VLOOKUP($A19&amp;$B$1,'Export 3 Oct'!$B$6:$K$851,6, FALSE)</f>
        <v>https://wikirate.org/~21475740</v>
      </c>
      <c r="H19" s="14" t="str">
        <f ca="1">VLOOKUP($A19&amp;$B$1,'Export 3 Oct'!$B$6:$K$851,10, FALSE)</f>
        <v>147 "Political influence and lobbying activities The subjects of political influence and lobbying activities are of minor relevance to the Jenoptik Group. Only Jenoptik Robot GmbH, a company within the Smart Mobility Solutions division, which represents a relatively small share of total group revenue, is listed in the German lobby register. Contributions to political events are made exclusively by Jenoptik Traffic Solutions LLC in the US, another entity within the Smart Mobility Solutions division, in compliance with local regulations, and amounted to a mid four figure euro sum in the reporting year. From a group perspective, the materiality threshold was not reached." Lucia Ixtacuy[https://wikirate.org/Lucia_Ixtacuy].....2025-08-06 15:03:08 UTC</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https://wikirate.org/~21475740</v>
      </c>
      <c r="H20" s="14" t="str">
        <f ca="1">VLOOKUP($A20&amp;$B$1,'Export 3 Oct'!$B$6:$K$851,10, FALSE)</f>
        <v>p. 272. Lucia Ixtacuy[https://wikirate.org/Lucia_Ixtacuy].....2025-08-06 15:08:51 UTC</v>
      </c>
      <c r="I20" s="12"/>
    </row>
    <row r="21" spans="1:9" ht="160">
      <c r="A21" s="13" t="s">
        <v>13</v>
      </c>
      <c r="B21" s="14" t="s">
        <v>1511</v>
      </c>
      <c r="C21" s="12" t="s">
        <v>1523</v>
      </c>
      <c r="D21" s="14" t="str">
        <f ca="1">VLOOKUP($A21&amp;$B$1,'Export 3 Oct'!$B$6:$K$851,5, FALSE)</f>
        <v>Yes</v>
      </c>
      <c r="E21" s="12" t="s">
        <v>1515</v>
      </c>
      <c r="F21" s="12"/>
      <c r="G21" s="12" t="str">
        <f ca="1">VLOOKUP($A21&amp;$B$1,'Export 3 Oct'!$B$6:$K$851,6, FALSE)</f>
        <v>https://wikirate.org/~21475740</v>
      </c>
      <c r="H21" s="14" t="str">
        <f ca="1">VLOOKUP($A21&amp;$B$1,'Export 3 Oct'!$B$6:$K$851,10, FALSE)</f>
        <v>No information on audits of suppliers was found Lucia Ixtacuy[https://wikirate.org/Lucia_Ixtacuy].....2025-08-06 15:21:43 UTC p. 145 "To increase customer satisfaction, review compliance with legal requirements, and ensure conformity with international standards, the Jenoptik Group conducts supplier audits. A risk based list of suppliers to be reviewed annually is compiled and regularly updated. The results of these audits, which are usually carried out on site at the supplier‚Äôs premises, are recorded in a central database in audit reports with specific plans for corrective actions. The implementation of these measures is systematically verified and documented. For supplier development, we expect suppliers to formulate improvement plans and implement them within a clearly defined timeframe" Lucia Ixtacuy[https://wikirate.org/Lucia_Ixtacuy].....2025-08-06 15:27:03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44CE4-FB77-6843-9E1C-2BB3D25A827E}">
  <sheetPr codeName="Sheet28"/>
  <dimension ref="A1:I30"/>
  <sheetViews>
    <sheetView topLeftCell="A21" workbookViewId="0">
      <selection activeCell="A26" sqref="A26:B30"/>
    </sheetView>
  </sheetViews>
  <sheetFormatPr baseColWidth="10" defaultRowHeight="16"/>
  <cols>
    <col min="1" max="1" width="48.5" style="4" bestFit="1" customWidth="1"/>
    <col min="2" max="2" width="50.33203125" style="4" customWidth="1"/>
    <col min="3" max="3" width="37.33203125" style="4" customWidth="1"/>
    <col min="4" max="4" width="15.33203125" style="4" bestFit="1" customWidth="1"/>
    <col min="5" max="5" width="6" style="4" bestFit="1" customWidth="1"/>
    <col min="6" max="6" width="42" style="4" customWidth="1"/>
    <col min="7" max="7" width="24.5" style="4" bestFit="1" customWidth="1"/>
    <col min="8" max="8" width="76.1640625" style="4" customWidth="1"/>
    <col min="9" max="16384" width="10.83203125" style="4"/>
  </cols>
  <sheetData>
    <row r="1" spans="1:9" ht="23">
      <c r="A1" s="8" t="s">
        <v>1486</v>
      </c>
      <c r="B1" s="7" t="str" cm="1">
        <f t="array" aca="1" ref="B1" ca="1">_xlfn.TEXTAFTER(CELL("filename",A1),"]")</f>
        <v>Jungheinrich AG</v>
      </c>
    </row>
    <row r="2" spans="1:9" ht="23">
      <c r="A2" s="8" t="s">
        <v>1616</v>
      </c>
      <c r="B2" s="18">
        <f>SUM(E5:E16)/12</f>
        <v>4.083333333333333</v>
      </c>
    </row>
    <row r="4" spans="1:9">
      <c r="A4" s="10" t="s">
        <v>1488</v>
      </c>
      <c r="B4" s="10" t="s">
        <v>1489</v>
      </c>
      <c r="C4" s="10" t="s">
        <v>1494</v>
      </c>
      <c r="D4" s="10" t="s">
        <v>1490</v>
      </c>
      <c r="E4" s="10" t="s">
        <v>1491</v>
      </c>
      <c r="F4" s="20" t="s">
        <v>1514</v>
      </c>
      <c r="G4" s="10" t="s">
        <v>1493</v>
      </c>
      <c r="H4" s="10" t="s">
        <v>1492</v>
      </c>
      <c r="I4" s="14"/>
    </row>
    <row r="5" spans="1:9" ht="64">
      <c r="A5" s="21" t="s">
        <v>91</v>
      </c>
      <c r="B5" s="14" t="s">
        <v>1496</v>
      </c>
      <c r="C5" s="14" t="s">
        <v>1516</v>
      </c>
      <c r="D5" s="14" t="str">
        <f ca="1">VLOOKUP($A5&amp;$B$1,'Export 3 Oct'!$B$6:$K$851,5, FALSE)</f>
        <v>Own website, Central database</v>
      </c>
      <c r="E5" s="14">
        <v>10</v>
      </c>
      <c r="F5" s="14"/>
      <c r="G5" s="14" t="str">
        <f ca="1">VLOOKUP($A5&amp;$B$1,'Export 3 Oct'!$B$6:$K$851,6, FALSE)</f>
        <v>https://wikirate.org/~22209332</v>
      </c>
      <c r="H5" s="14" t="str">
        <f ca="1">VLOOKUP($A5&amp;$B$1,'Export 3 Oct'!$B$6:$K$851,10, FALSE)</f>
        <v>Alos on https://www.annualreports.com/ Thomas Howie[https://wikirate.org/Thomas_Howie].....2025-08-11 14:17:59 UTC</v>
      </c>
      <c r="I5" s="14"/>
    </row>
    <row r="6" spans="1:9" ht="112">
      <c r="A6" s="21" t="s">
        <v>242</v>
      </c>
      <c r="B6" s="14" t="s">
        <v>1497</v>
      </c>
      <c r="C6" s="14" t="s">
        <v>1525</v>
      </c>
      <c r="D6" s="14" t="str">
        <f ca="1">VLOOKUP($A6&amp;$B$1,'Export 3 Oct'!$B$6:$K$851,5, FALSE)</f>
        <v>PDF (text based)</v>
      </c>
      <c r="E6" s="14">
        <v>4</v>
      </c>
      <c r="F6" s="14"/>
      <c r="G6" s="14" t="str">
        <f ca="1">VLOOKUP($A6&amp;$B$1,'Export 3 Oct'!$B$6:$K$851,6, FALSE)</f>
        <v>https://wikirate.org/~21496898</v>
      </c>
      <c r="H6" s="14" t="str">
        <f ca="1">VLOOKUP($A6&amp;$B$1,'Export 3 Oct'!$B$6:$K$851,10, FALSE)</f>
        <v>p. 217 also mentions xbrl but this only pertains to the financial disclosure Laureen van Breen[https://wikirate.org/Laureen_van_Breen].....2025-09-21 09:20:14 UTC</v>
      </c>
      <c r="I6" s="14"/>
    </row>
    <row r="7" spans="1:9" ht="48">
      <c r="A7" s="21" t="s">
        <v>901</v>
      </c>
      <c r="B7" s="14" t="s">
        <v>1498</v>
      </c>
      <c r="C7" s="14" t="s">
        <v>1517</v>
      </c>
      <c r="D7" s="14" t="str">
        <f ca="1">VLOOKUP($A7&amp;$B$1,'Export 3 Oct'!$B$6:$K$851,5, FALSE)</f>
        <v>No</v>
      </c>
      <c r="E7" s="14">
        <v>0</v>
      </c>
      <c r="F7" s="14"/>
      <c r="G7" s="14" t="str">
        <f ca="1">VLOOKUP($A7&amp;$B$1,'Export 3 Oct'!$B$6:$K$851,6, FALSE)</f>
        <v>https://wikirate.org/~21496898</v>
      </c>
      <c r="H7" s="14" t="str">
        <f ca="1">VLOOKUP($A7&amp;$B$1,'Export 3 Oct'!$B$6:$K$851,10, FALSE)</f>
        <v>There is an archive of reports and presentations for investors, but the annual or sustainability reports are not include (only the current annual report). Laureen van Breen[https://wikirate.org/Laureen_van_Breen].....2025-09-21 09:24:35 UTC</v>
      </c>
      <c r="I7" s="14"/>
    </row>
    <row r="8" spans="1:9" ht="32">
      <c r="A8" s="21" t="s">
        <v>629</v>
      </c>
      <c r="B8" s="14" t="s">
        <v>1499</v>
      </c>
      <c r="C8" s="14" t="s">
        <v>1517</v>
      </c>
      <c r="D8" s="14" t="str">
        <f ca="1">VLOOKUP($A8&amp;$B$1,'Export 3 Oct'!$B$6:$K$851,5, FALSE)</f>
        <v>No</v>
      </c>
      <c r="E8" s="14">
        <v>0</v>
      </c>
      <c r="F8" s="14"/>
      <c r="G8" s="14" t="str">
        <f ca="1">VLOOKUP($A8&amp;$B$1,'Export 3 Oct'!$B$6:$K$851,6, FALSE)</f>
        <v>https://wikirate.org/~21496898</v>
      </c>
      <c r="H8" s="14"/>
      <c r="I8" s="14"/>
    </row>
    <row r="9" spans="1:9" ht="64">
      <c r="A9" s="21" t="s">
        <v>701</v>
      </c>
      <c r="B9" s="14" t="s">
        <v>1500</v>
      </c>
      <c r="C9" s="14" t="s">
        <v>1518</v>
      </c>
      <c r="D9" s="14" t="str">
        <f ca="1">VLOOKUP($A9&amp;$B$1,'Export 3 Oct'!$B$6:$K$851,5, FALSE)</f>
        <v>No</v>
      </c>
      <c r="E9" s="14">
        <v>0</v>
      </c>
      <c r="F9" s="14"/>
      <c r="G9" s="14" t="str">
        <f ca="1">VLOOKUP($A9&amp;$B$1,'Export 3 Oct'!$B$6:$K$851,6, FALSE)</f>
        <v>https://wikirate.org/~22335661</v>
      </c>
      <c r="H9" s="14" t="str">
        <f ca="1">VLOOKUP($A9&amp;$B$1,'Export 3 Oct'!$B$6:$K$851,10, FALSE)</f>
        <v>They only seem to have one policy and I could not find their code of conduct online either... There is also a page with sustainability downloads but again this is not very comprehensive. Laureen van Breen[https://wikirate.org/Laureen_van_Breen].....2025-09-21 09:36:29 UTC</v>
      </c>
      <c r="I9" s="14"/>
    </row>
    <row r="10" spans="1:9" ht="192">
      <c r="A10" s="21" t="s">
        <v>328</v>
      </c>
      <c r="B10" s="14" t="s">
        <v>1501</v>
      </c>
      <c r="C10" s="14" t="s">
        <v>1519</v>
      </c>
      <c r="D10" s="14" t="str">
        <f ca="1">VLOOKUP($A10&amp;$B$1,'Export 3 Oct'!$B$6:$K$851,5, FALSE)</f>
        <v>Company Registration Number/ID</v>
      </c>
      <c r="E10" s="14">
        <v>10</v>
      </c>
      <c r="F10" s="14"/>
      <c r="G10" s="14" t="str">
        <f ca="1">VLOOKUP($A10&amp;$B$1,'Export 3 Oct'!$B$6:$K$851,6, FALSE)</f>
        <v>https://wikirate.org/~21496898</v>
      </c>
      <c r="H10" s="14" t="str">
        <f ca="1">VLOOKUP($A10&amp;$B$1,'Export 3 Oct'!$B$6:$K$851,10, FALSE)</f>
        <v>"The Jungheinrich Aktiengesellschaft (Jungheinrich AG) is headquartered at Friedrich-Ebert-Damm 129in Hamburg (Germany) and is registered in the commercial register kept at the Hamburg District court under HRB 44885." p.137 Laureen van Breen[https://wikirate.org/Laureen_van_Breen].....2025-09-21 09:38:48 UTC</v>
      </c>
      <c r="I10" s="14"/>
    </row>
    <row r="11" spans="1:9" ht="112">
      <c r="A11" s="21" t="s">
        <v>412</v>
      </c>
      <c r="B11" s="14" t="s">
        <v>1502</v>
      </c>
      <c r="C11" s="14" t="s">
        <v>1517</v>
      </c>
      <c r="D11" s="14" t="str">
        <f ca="1">VLOOKUP($A11&amp;$B$1,'Export 3 Oct'!$B$6:$K$851,5, FALSE)</f>
        <v>Yes</v>
      </c>
      <c r="E11" s="14">
        <v>10</v>
      </c>
      <c r="F11" s="14"/>
      <c r="G11" s="14" t="str">
        <f ca="1">VLOOKUP($A11&amp;$B$1,'Export 3 Oct'!$B$6:$K$851,6, FALSE)</f>
        <v>https://wikirate.org/~21496898</v>
      </c>
      <c r="H11" s="14" t="str">
        <f ca="1">VLOOKUP($A11&amp;$B$1,'Export 3 Oct'!$B$6:$K$851,10, FALSE)</f>
        <v>P35 (P1 in Pdf viewer) "In this chapter, Jungheinrich publishes the information required by law for the 2024 financial year in accordance with the CSR Directive Implementation Act (CSR-RUG)." Thomas Howie[https://wikirate.org/Thomas_Howie].....2025-08-11 14:29:00 UTC "The scope of consolidation corresponds to that found in the consolidated financial statements as of 31December 2024, with the exception of reporting in accordance with ESRS E1-6 as this requires additional consideration of all subsidiaries over which Jungheinrich exercises operational control." p. 36 Laureen van Breen[https://wikirate.org/Laureen_van_Breen].....2025-09-21 09:43:52 UTC</v>
      </c>
      <c r="I11" s="14"/>
    </row>
    <row r="12" spans="1:9" ht="32">
      <c r="A12" s="21" t="s">
        <v>987</v>
      </c>
      <c r="B12" s="14" t="s">
        <v>1503</v>
      </c>
      <c r="C12" s="14" t="s">
        <v>1517</v>
      </c>
      <c r="D12" s="14" t="str">
        <f ca="1">VLOOKUP($A12&amp;$B$1,'Export 3 Oct'!$B$6:$K$851,5, FALSE)</f>
        <v>No</v>
      </c>
      <c r="E12" s="14">
        <v>0</v>
      </c>
      <c r="F12" s="14"/>
      <c r="G12" s="14" t="str">
        <f ca="1">VLOOKUP($A12&amp;$B$1,'Export 3 Oct'!$B$6:$K$851,6, FALSE)</f>
        <v>https://wikirate.org/~21496898</v>
      </c>
      <c r="H12" s="14" t="str">
        <f ca="1">VLOOKUP($A12&amp;$B$1,'Export 3 Oct'!$B$6:$K$851,10, FALSE)</f>
        <v>The PDF download is one "chapter" of their Report for 2024. P1 in the PDF viewer is page 35 in their report Thomas Howie[https://wikirate.org/Thomas_Howie].....2025-08-11 14:30:09 UTC</v>
      </c>
      <c r="I12" s="14"/>
    </row>
    <row r="13" spans="1:9" ht="208">
      <c r="A13" s="21" t="s">
        <v>1044</v>
      </c>
      <c r="B13" s="14" t="s">
        <v>1504</v>
      </c>
      <c r="C13" s="14" t="s">
        <v>1520</v>
      </c>
      <c r="D13" s="14" t="str">
        <f ca="1">VLOOKUP($A13&amp;$B$1,'Export 3 Oct'!$B$6:$K$851,5, FALSE)</f>
        <v>CSRD (ESRS), Greenhouse Gas Protocol, Other</v>
      </c>
      <c r="E13" s="14">
        <v>10</v>
      </c>
      <c r="F13" s="14"/>
      <c r="G13" s="14" t="str">
        <f ca="1">VLOOKUP($A13&amp;$B$1,'Export 3 Oct'!$B$6:$K$851,6, FALSE)</f>
        <v>https://wikirate.org/~21496898</v>
      </c>
      <c r="H13" s="14" t="str">
        <f ca="1">VLOOKUP($A13&amp;$B$1,'Export 3 Oct'!$B$6:$K$851,10, FALSE)</f>
        <v>P35 (P1 PDF viewer) "This sustainability statement is prepared on a consolidated basis for the Jungheinrich Group in full compliance with European Sustainability Reporting Standards (ESRS)." Sustainable Finance Directive, Three pillars reference, Benchmark regulation reference, EU Climate Act reference p100 (p66 in PDF Viewer) Thomas Howie[https://wikirate.org/Thomas_Howie].....2025-08-11 14:33:50 UTC "With respect to the implementation of the decarbonisation targets that have been set, Jungheinrich is guided by external standards and initiatives such as The Climate Pledge and the SBTi, and certifications such as DIN EN ISO 50001. All under-lying data are in line with international standards such as the Greenhouse Gas Protocol. " p. 54 "In addition, the CDP rating of B 1 in the previous year in the climate category was again confirmed for 2024(in a nine-step scale from A to F) for transparency and commitment to climate protection. ISS-ESG Corporate Rating again awarded Jungheinrich the sector-specific stat...</v>
      </c>
      <c r="I13" s="14"/>
    </row>
    <row r="14" spans="1:9" ht="128">
      <c r="A14" s="21" t="s">
        <v>495</v>
      </c>
      <c r="B14" s="14" t="s">
        <v>1505</v>
      </c>
      <c r="C14" s="14" t="s">
        <v>1521</v>
      </c>
      <c r="D14" s="14" t="str">
        <f ca="1">VLOOKUP($A14&amp;$B$1,'Export 3 Oct'!$B$6:$K$851,5, FALSE)</f>
        <v>Index with page references</v>
      </c>
      <c r="E14" s="14">
        <v>5</v>
      </c>
      <c r="F14" s="14"/>
      <c r="G14" s="14" t="str">
        <f ca="1">VLOOKUP($A14&amp;$B$1,'Export 3 Oct'!$B$6:$K$851,6, FALSE)</f>
        <v>https://wikirate.org/~21496898</v>
      </c>
      <c r="H14" s="14" t="str">
        <f ca="1">VLOOKUP($A14&amp;$B$1,'Export 3 Oct'!$B$6:$K$851,10, FALSE)</f>
        <v>P100 (p66 in PDF viewer) Thomas Howie[https://wikirate.org/Thomas_Howie].....2025-08-11 14:35:36 UTC p. 95-103 Index Laureen van Breen[https://wikirate.org/Laureen_van_Breen].....2025-09-21 09:51:57 UTC</v>
      </c>
      <c r="I14" s="14"/>
    </row>
    <row r="15" spans="1:9" ht="32">
      <c r="A15" s="21" t="s">
        <v>577</v>
      </c>
      <c r="B15" s="14" t="s">
        <v>1506</v>
      </c>
      <c r="C15" s="14" t="s">
        <v>1517</v>
      </c>
      <c r="D15" s="14" t="str">
        <f ca="1">VLOOKUP($A15&amp;$B$1,'Export 3 Oct'!$B$6:$K$851,5, FALSE)</f>
        <v>No</v>
      </c>
      <c r="E15" s="14">
        <v>0</v>
      </c>
      <c r="F15" s="14"/>
      <c r="G15" s="14" t="str">
        <f ca="1">VLOOKUP($A15&amp;$B$1,'Export 3 Oct'!$B$6:$K$851,6, FALSE)</f>
        <v>https://wikirate.org/~21496898</v>
      </c>
      <c r="H15" s="14"/>
      <c r="I15" s="14"/>
    </row>
    <row r="16" spans="1:9" ht="48">
      <c r="A16" s="21" t="s">
        <v>1143</v>
      </c>
      <c r="B16" s="14" t="s">
        <v>1507</v>
      </c>
      <c r="C16" s="14" t="s">
        <v>1522</v>
      </c>
      <c r="D16" s="14" t="str">
        <f ca="1">VLOOKUP($A16&amp;$B$1,'Export 3 Oct'!$B$6:$K$851,5, FALSE)</f>
        <v>Not specified</v>
      </c>
      <c r="E16" s="14">
        <v>0</v>
      </c>
      <c r="F16" s="14"/>
      <c r="G16" s="14" t="str">
        <f ca="1">VLOOKUP($A16&amp;$B$1,'Export 3 Oct'!$B$6:$K$851,6, FALSE)</f>
        <v>https://wikirate.org/~21496898</v>
      </c>
      <c r="H16" s="14"/>
      <c r="I16" s="14"/>
    </row>
    <row r="17" spans="1:9">
      <c r="A17" s="22" t="s">
        <v>1512</v>
      </c>
      <c r="B17" s="16"/>
      <c r="C17" s="16"/>
      <c r="D17" s="16"/>
      <c r="E17" s="16"/>
      <c r="F17" s="16"/>
      <c r="G17" s="16"/>
      <c r="H17" s="16"/>
      <c r="I17" s="14"/>
    </row>
    <row r="18" spans="1:9" ht="128">
      <c r="A18" s="21" t="s">
        <v>1195</v>
      </c>
      <c r="B18" s="14" t="s">
        <v>1508</v>
      </c>
      <c r="C18" s="14" t="s">
        <v>1523</v>
      </c>
      <c r="D18" s="14" t="str">
        <f ca="1">VLOOKUP($A18&amp;$B$1,'Export 3 Oct'!$B$6:$K$851,5, FALSE)</f>
        <v>Yes</v>
      </c>
      <c r="E18" s="14" t="s">
        <v>1515</v>
      </c>
      <c r="F18" s="14"/>
      <c r="G18" s="14" t="str">
        <f ca="1">VLOOKUP($A18&amp;$B$1,'Export 3 Oct'!$B$6:$K$851,6, FALSE)</f>
        <v>https://wikirate.org/~21496898</v>
      </c>
      <c r="H18" s="14" t="str">
        <f ca="1">VLOOKUP($A18&amp;$B$1,'Export 3 Oct'!$B$6:$K$851,10, FALSE)</f>
        <v>p35 (p1 in PDF viewer) "A double materiality assessment was carried out in accordance with ESRS in order to record the most important impacts on people and the environment (impact materiality) and the business risks and opportunities resulting from sustainability topics (financial materiality). The double materiality assessment is a comprehensive, strategic approach to assess impacts, risks and opportunities related to sustainability. The assessment covers the entire value chain, from raw material extraction to product use by customers and the treatment of products at the end of their life cycle. All activities are assessed for their actual and potential impacts, risks and opportunities." Thomas Howie[https://wikirate.org/Thomas_Howie].....2025-08-11 14:38:19 UTC</v>
      </c>
      <c r="I18" s="14"/>
    </row>
    <row r="19" spans="1:9" ht="32">
      <c r="A19" s="21" t="s">
        <v>1280</v>
      </c>
      <c r="B19" s="14" t="s">
        <v>1509</v>
      </c>
      <c r="C19" s="14" t="s">
        <v>1523</v>
      </c>
      <c r="D19" s="14" t="str">
        <f ca="1">VLOOKUP($A19&amp;$B$1,'Export 3 Oct'!$B$6:$K$851,5, FALSE)</f>
        <v>No</v>
      </c>
      <c r="E19" s="14" t="s">
        <v>1515</v>
      </c>
      <c r="F19" s="14"/>
      <c r="G19" s="14" t="str">
        <f ca="1">VLOOKUP($A19&amp;$B$1,'Export 3 Oct'!$B$6:$K$851,6, FALSE)</f>
        <v>https://wikirate.org/~21496898</v>
      </c>
      <c r="H19" s="14" t="str">
        <f ca="1">VLOOKUP($A19&amp;$B$1,'Export 3 Oct'!$B$6:$K$851,10, FALSE)</f>
        <v>p. 100 G1-5 (political influence and lobbying activities) is claimed to be not material... Laureen van Breen[https://wikirate.org/Laureen_van_Breen].....2025-09-21 09:54:59 UTC</v>
      </c>
      <c r="I19" s="14"/>
    </row>
    <row r="20" spans="1:9" ht="144">
      <c r="A20" s="21" t="s">
        <v>814</v>
      </c>
      <c r="B20" s="14" t="s">
        <v>1510</v>
      </c>
      <c r="C20" s="14" t="s">
        <v>1524</v>
      </c>
      <c r="D20" s="14" t="str">
        <f ca="1">VLOOKUP($A20&amp;$B$1,'Export 3 Oct'!$B$6:$K$851,5, FALSE)</f>
        <v>Limited assurance</v>
      </c>
      <c r="E20" s="14" t="s">
        <v>1515</v>
      </c>
      <c r="F20" s="14"/>
      <c r="G20" s="14" t="str">
        <f ca="1">VLOOKUP($A20&amp;$B$1,'Export 3 Oct'!$B$6:$K$851,6, FALSE)</f>
        <v>https://wikirate.org/~21496898</v>
      </c>
      <c r="H20" s="14" t="str">
        <f ca="1">VLOOKUP($A20&amp;$B$1,'Export 3 Oct'!$B$6:$K$851,10, FALSE)</f>
        <v>P50 (p16 in PDF viewer) "An independent auditor also reviews the content of the sustainability statement on a limited-assurance basis." Thomas Howie[https://wikirate.org/Thomas_Howie].....2025-08-11 14:40:25 UTC "We have conducted a limited assurance engagement on the group sustainability statement of Jungheinrich Aktiengesellschaft, Hamburg, (hereinafter the ‚ÄûCompany‚Äú) included in section ‚ÄúSustainability statement‚Äù of the group management report, which is combined with the Company‚Äôs management report, for the financial year from 1 January to 31 December 2024 (hereinafter the ‚ÄúGroup Sustainability Statement‚Äù)." p.218 Laureen van Breen[https://wikirate.org/Laureen_van_Breen].....2025-09-21 09:57:18 UTC</v>
      </c>
      <c r="I20" s="14"/>
    </row>
    <row r="21" spans="1:9" ht="192">
      <c r="A21" s="21" t="s">
        <v>13</v>
      </c>
      <c r="B21" s="14" t="s">
        <v>1511</v>
      </c>
      <c r="C21" s="14" t="s">
        <v>1523</v>
      </c>
      <c r="D21" s="14" t="str">
        <f ca="1">VLOOKUP($A21&amp;$B$1,'Export 3 Oct'!$B$6:$K$851,5, FALSE)</f>
        <v>No</v>
      </c>
      <c r="E21" s="14" t="s">
        <v>1515</v>
      </c>
      <c r="F21" s="14"/>
      <c r="G21" s="14" t="str">
        <f ca="1">VLOOKUP($A21&amp;$B$1,'Export 3 Oct'!$B$6:$K$851,6, FALSE)</f>
        <v>https://wikirate.org/~21496898</v>
      </c>
      <c r="H21" s="14" t="str">
        <f ca="1">VLOOKUP($A21&amp;$B$1,'Export 3 Oct'!$B$6:$K$851,10, FALSE)</f>
        <v>p86 (p52 in PDF viewer) The company references a supplier code of conduct and other Humanr Right based codes, however no reference is made to inspections or audits, simply that no violations were reported during the reporting period, "As part of the sustainable supply chain management system, Jungheinrich has established comprehensive guidelines to safeguard human rights along the entire value chain. These include the internal Group guidelines on corporate due diligence, the Policy Statement to Respect the Human Rights and the Supplier Code of Conduct. These guidelines are based on the German Supply Chain Act laws and international standards such as the UN Human Rights Charter, the UNGP, the OECD Guidelines for Multinational Business and the ILO core labour standards. There were no incidents relating to human rights violations nor non-compliance with the standards listed above in the reporting period" Thomas Howie[https://wikirate.org/Thomas_Howie].....2025-08-11 14:46:36 UTC p. 81 mentions audits and site...</v>
      </c>
      <c r="I21" s="14"/>
    </row>
    <row r="26" spans="1:9">
      <c r="A26" s="39" t="s">
        <v>1634</v>
      </c>
    </row>
    <row r="27" spans="1:9">
      <c r="A27" s="38" t="s">
        <v>1630</v>
      </c>
      <c r="B27" s="40">
        <f>AVERAGE($E$5,$E$6,$E$7)</f>
        <v>4.666666666666667</v>
      </c>
    </row>
    <row r="28" spans="1:9">
      <c r="A28" s="38" t="s">
        <v>1631</v>
      </c>
      <c r="B28" s="40">
        <f>AVERAGE($E$8,$E$9)</f>
        <v>0</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B4D3-253E-7042-B8D7-0DC05DC3F5E6}">
  <sheetPr codeName="Sheet29"/>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KION Group</v>
      </c>
    </row>
    <row r="2" spans="1:9" ht="23">
      <c r="A2" s="8" t="s">
        <v>1616</v>
      </c>
      <c r="B2" s="18">
        <f>SUM(E5:E16)/12</f>
        <v>5.916666666666667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https://wikirate.org/~22210664</v>
      </c>
      <c r="H5" s="14"/>
      <c r="I5" s="12"/>
    </row>
    <row r="6" spans="1:9" ht="112">
      <c r="A6" s="13" t="s">
        <v>242</v>
      </c>
      <c r="B6" s="14" t="s">
        <v>1497</v>
      </c>
      <c r="C6" s="14" t="s">
        <v>1525</v>
      </c>
      <c r="D6" s="14" t="str">
        <f ca="1">VLOOKUP($A6&amp;$B$1,'Export 3 Oct'!$B$6:$K$851,5, FALSE)</f>
        <v>PDF (text based), Spreadsheet</v>
      </c>
      <c r="E6" s="12">
        <v>6</v>
      </c>
      <c r="F6" s="12"/>
      <c r="G6" s="12" t="str">
        <f ca="1">VLOOKUP($A6&amp;$B$1,'Export 3 Oct'!$B$6:$K$851,6, FALSE)</f>
        <v>https://wikirate.org/~21496654</v>
      </c>
      <c r="H6" s="14" t="str">
        <f ca="1">VLOOKUP($A6&amp;$B$1,'Export 3 Oct'!$B$6:$K$851,10, FALSE)</f>
        <v>There is also XLSX file that can be downloaded. Laureen van Breen[https://wikirate.org/Laureen_van_Breen].....2025-09-21 10:09:32 UTC</v>
      </c>
      <c r="I6" s="12"/>
    </row>
    <row r="7" spans="1:9" ht="80">
      <c r="A7" s="13" t="s">
        <v>901</v>
      </c>
      <c r="B7" s="14" t="s">
        <v>1498</v>
      </c>
      <c r="C7" s="14" t="s">
        <v>1517</v>
      </c>
      <c r="D7" s="14" t="str">
        <f ca="1">VLOOKUP($A7&amp;$B$1,'Export 3 Oct'!$B$6:$K$851,5, FALSE)</f>
        <v>Yes</v>
      </c>
      <c r="E7" s="12">
        <v>10</v>
      </c>
      <c r="F7" s="12"/>
      <c r="G7" s="12" t="str">
        <f ca="1">VLOOKUP($A7&amp;$B$1,'Export 3 Oct'!$B$6:$K$851,6, FALSE)</f>
        <v>https://wikirate.org/~22335690</v>
      </c>
      <c r="H7" s="14" t="str">
        <f ca="1">VLOOKUP($A7&amp;$B$1,'Export 3 Oct'!$B$6:$K$851,10, FALSE)</f>
        <v>At the top of the annual report 2024 webpage there is a dropdown where you can go back to 2023 and 2022 reports as well. It is however not clear if they will keep adding years or if it's always just 2 years that you can go back. Laureen van Breen[https://wikirate.org/Laureen_van_Breen].....2025-09-21 10:13:18 UTC And on their sustainability page you can find all the previous susty reports. Laureen van Breen[https://wikirate.org/Laureen_van_Breen].....2025-09-21 10:20:38 UTC</v>
      </c>
      <c r="I7" s="12"/>
    </row>
    <row r="8" spans="1:9" ht="48">
      <c r="A8" s="13" t="s">
        <v>629</v>
      </c>
      <c r="B8" s="14" t="s">
        <v>1499</v>
      </c>
      <c r="C8" s="14" t="s">
        <v>1517</v>
      </c>
      <c r="D8" s="14" t="str">
        <f ca="1">VLOOKUP($A8&amp;$B$1,'Export 3 Oct'!$B$6:$K$851,5, FALSE)</f>
        <v>No</v>
      </c>
      <c r="E8" s="12">
        <v>0</v>
      </c>
      <c r="F8" s="12"/>
      <c r="G8" s="12" t="str">
        <f ca="1">VLOOKUP($A8&amp;$B$1,'Export 3 Oct'!$B$6:$K$851,6, FALSE)</f>
        <v>https://wikirate.org/~21496654</v>
      </c>
      <c r="H8" s="14" t="str">
        <f ca="1">VLOOKUP($A8&amp;$B$1,'Export 3 Oct'!$B$6:$K$851,10, FALSE)</f>
        <v>p. 214 has a link to a landing page for the supplier code of conduct. But there is no evidence of a consistent practice and it being direct links to the supporting documentation. Laureen van Breen[https://wikirate.org/Laureen_van_Breen].....2025-09-21 10:17:17 UTC</v>
      </c>
      <c r="I8" s="12"/>
    </row>
    <row r="9" spans="1:9" ht="80">
      <c r="A9" s="13" t="s">
        <v>701</v>
      </c>
      <c r="B9" s="14" t="s">
        <v>1500</v>
      </c>
      <c r="C9" s="14" t="s">
        <v>1518</v>
      </c>
      <c r="D9" s="14" t="str">
        <f ca="1">VLOOKUP($A9&amp;$B$1,'Export 3 Oct'!$B$6:$K$851,5, FALSE)</f>
        <v>No</v>
      </c>
      <c r="E9" s="12">
        <v>0</v>
      </c>
      <c r="F9" s="12"/>
      <c r="G9" s="12" t="str">
        <f ca="1">VLOOKUP($A9&amp;$B$1,'Export 3 Oct'!$B$6:$K$851,6, FALSE)</f>
        <v>https://wikirate.org/~22246218</v>
      </c>
      <c r="H9" s="14" t="str">
        <f ca="1">VLOOKUP($A9&amp;$B$1,'Export 3 Oct'!$B$6:$K$851,10, FALSE)</f>
        <v>Although they do list a supplier code of conduct, a code of conduct for their own workforce is not included Thomas Howie[https://wikirate.org/Thomas_Howie].....2025-08-19 11:48:41 UTC There is also a Health and Safety policy on their sustainability page, but there indeed is not a page with an overview of all their policies and codes of conduct. Laureen van Breen[https://wikirate.org/Laureen_van_Breen].....2025-09-21 10:24:08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https://wikirate.org/~21496654</v>
      </c>
      <c r="H10" s="14" t="str">
        <f ca="1">VLOOKUP($A10&amp;$B$1,'Export 3 Oct'!$B$6:$K$851,10, FALSE)</f>
        <v>p27 (p28 in PDF viewer) Thomas Howie[https://wikirate.org/Thomas_Howie].....2025-08-19 11:51:54 UTC The ISIN is disclosed in reference to their shares so it is not clear if this is also the same entity that is covered by the non-financial disclosures of the report. Laureen van Breen[https://wikirate.org/Laureen_van_Breen].....2025-09-21 10:26:43 UTC "KION GROUP AG, whose registered office is at Thea-Rasche-Strasse 8, 60549 Frankfurt am Main, Germany, is entered in the commercial register at the Frankfurt am Main local court under reference HRB 112163." p. 286 Laureen van Breen[https://wikirate.org/Laureen_van_Breen].....2025-09-21 10:28:30 UTC</v>
      </c>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https://wikirate.org/~21496654</v>
      </c>
      <c r="H11" s="14" t="str">
        <f ca="1">VLOOKUP($A11&amp;$B$1,'Export 3 Oct'!$B$6:$K$851,10, FALSE)</f>
        <v>p111 (p112 in pdf viewer) "Unless stated otherwise, the qualitative and quantitative disclosures in this sustainability report relate to the period of the KION Group‚Äôs financial year from January 1 to December 31, 2024." Thomas Howie[https://wikirate.org/Thomas_Howie].....2025-08-19 11:55:41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https://wikirate.org/~21496654</v>
      </c>
      <c r="H12" s="14"/>
      <c r="I12" s="12"/>
    </row>
    <row r="13" spans="1:9" ht="208">
      <c r="A13" s="13" t="s">
        <v>1044</v>
      </c>
      <c r="B13" s="14" t="s">
        <v>1504</v>
      </c>
      <c r="C13" s="14" t="s">
        <v>1520</v>
      </c>
      <c r="D13" s="14" t="str">
        <f ca="1">VLOOKUP($A13&amp;$B$1,'Export 3 Oct'!$B$6:$K$851,5, FALSE)</f>
        <v>CSRD (ESRS), CDP, Greenhouse Gas Protocol</v>
      </c>
      <c r="E13" s="12">
        <v>10</v>
      </c>
      <c r="F13" s="12"/>
      <c r="G13" s="12" t="str">
        <f ca="1">VLOOKUP($A13&amp;$B$1,'Export 3 Oct'!$B$6:$K$851,6, FALSE)</f>
        <v>https://wikirate.org/~21496654</v>
      </c>
      <c r="H13" s="14" t="str">
        <f ca="1">VLOOKUP($A13&amp;$B$1,'Export 3 Oct'!$B$6:$K$851,10, FALSE)</f>
        <v>p111 (p112 in pdf viewer) "Alignment in accordance with CSR - RUG with voluntary application of ESRS This Group sustainability report was prepared in accordance with the applicable legal requirements of CSR - RUG. The concept of double materiality analysis in accordance with ESRS means that the understanding of materiality according to GAS 20 is significantly expanded upon for the Group non-financial statement. Based on the KION Group's material topics, the five matters outlined in CSR - RUG have already been covered as follows in accordance with ESRS and expanded for individual requirements of CSR- RUG." Thomas Howie[https://wikirate.org/Thomas_Howie].....2025-08-19 12:00:03 UTC "The KION Group calculates and controls its GHG emissions based on the international Greenhouse Gas Protocol (GHG Protocol). " p. 151 "To ensure the highest level of transparency and comparability, the KION Group uses the widely adopted international disclosure and scoring platform CDP in order to publicly communicate its GHG mana...</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https://wikirate.org/~21496654</v>
      </c>
      <c r="H14" s="14" t="str">
        <f ca="1">VLOOKUP($A14&amp;$B$1,'Export 3 Oct'!$B$6:$K$851,10, FALSE)</f>
        <v>p225-233 Thomas Howie[https://wikirate.org/Thomas_Howie].....2025-08-19 12:01:17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https://wikirate.org/~21496654</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https://wikirate.org/~21496654</v>
      </c>
      <c r="H16" s="14"/>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https://wikirate.org/~21496654</v>
      </c>
      <c r="H18" s="14" t="str">
        <f ca="1">VLOOKUP($A18&amp;$B$1,'Export 3 Oct'!$B$6:$K$851,10, FALSE)</f>
        <v>p122 - p123 "A new DMA process was formulated and implemented in 2024 to ensure that it meets the methodological requirements of ESRS 1." Thomas Howie[https://wikirate.org/Thomas_Howie].....2025-08-19 12:05:47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https://wikirate.org/~21496654</v>
      </c>
      <c r="H19" s="14"/>
      <c r="I19" s="12"/>
    </row>
    <row r="20" spans="1:9" ht="112">
      <c r="A20" s="13" t="s">
        <v>814</v>
      </c>
      <c r="B20" s="14" t="s">
        <v>1510</v>
      </c>
      <c r="C20" s="14" t="s">
        <v>1524</v>
      </c>
      <c r="D20" s="14" t="str">
        <f ca="1">VLOOKUP($A20&amp;$B$1,'Export 3 Oct'!$B$6:$K$851,5, FALSE)</f>
        <v>Limited assurance</v>
      </c>
      <c r="E20" s="12" t="s">
        <v>1515</v>
      </c>
      <c r="F20" s="12"/>
      <c r="G20" s="12" t="str">
        <f ca="1">VLOOKUP($A20&amp;$B$1,'Export 3 Oct'!$B$6:$K$851,6, FALSE)</f>
        <v>https://wikirate.org/~21496654</v>
      </c>
      <c r="H20" s="14" t="str">
        <f ca="1">VLOOKUP($A20&amp;$B$1,'Export 3 Oct'!$B$6:$K$851,10, FALSE)</f>
        <v>p411 Sustainability Statement Our objective is to express a limited assurance conclusion, based on t he assurance engagement we have conducted, on whether any matters have come to our attention that cause us to believe that the Group Sustainability Statement has not been prepared, in all material respects, in accordance with the CSRD, the applicable German legal and other European requirements and the supplementary criteria presented by the company‚Äôs executive directors, and to issue an assurance report that includes our assurance conclusion on the Group Sustainability Statement. Thomas Howie[https://wikirate.org/Thomas_Howie].....2025-08-19 12:09:22 UTC</v>
      </c>
      <c r="I20" s="12"/>
    </row>
    <row r="21" spans="1:9" ht="192">
      <c r="A21" s="13" t="s">
        <v>13</v>
      </c>
      <c r="B21" s="14" t="s">
        <v>1511</v>
      </c>
      <c r="C21" s="12" t="s">
        <v>1523</v>
      </c>
      <c r="D21" s="14" t="str">
        <f ca="1">VLOOKUP($A21&amp;$B$1,'Export 3 Oct'!$B$6:$K$851,5, FALSE)</f>
        <v>Yes</v>
      </c>
      <c r="E21" s="12" t="s">
        <v>1515</v>
      </c>
      <c r="F21" s="12"/>
      <c r="G21" s="12" t="str">
        <f ca="1">VLOOKUP($A21&amp;$B$1,'Export 3 Oct'!$B$6:$K$851,6, FALSE)</f>
        <v>https://wikirate.org/~21496654</v>
      </c>
      <c r="H21" s="14" t="str">
        <f ca="1">VLOOKUP($A21&amp;$B$1,'Export 3 Oct'!$B$6:$K$851,10, FALSE)</f>
        <v>p198, mentions Supply Chain Due Diligence but doesn't make clear what exactly they do. The function of the human rights officer described in the German Supply Chain Due Diligence Act (Lieferkettensorgfaltspflichtengesetz) is delegated to the KION Group‚Äôs Human Rights Committee, which reports to the Executive Board of KION GROUP AG Thomas Howie[https://wikirate.org/Thomas_Howie].....2025-08-19 12:16:45 UTC "As part of its direct business relationships, the KION Group assesses and evaluates tier 1 suppliers using the ESG supplier risk management process described in the ‚ÄòPolicies related to workers in the value chain‚Äô chapter. Where necessary, an escalation process is initiated in line with the KION Group‚Äôs existing guidelines." p.213 "The first step of the third stage is to analyze suppliers in detail and assess them by means of a desk audit, which primarily involves questionnaires and documentation checks. The next steps are defined and agreed on the basis of the desk audit results. These can include on-si...</v>
      </c>
      <c r="I21" s="12"/>
    </row>
    <row r="26" spans="1:9">
      <c r="A26" s="39" t="s">
        <v>1634</v>
      </c>
    </row>
    <row r="27" spans="1:9">
      <c r="A27" s="38" t="s">
        <v>1630</v>
      </c>
      <c r="B27" s="40">
        <f>AVERAGE($E$5,$E$6,$E$7)</f>
        <v>8.6666666666666661</v>
      </c>
    </row>
    <row r="28" spans="1:9">
      <c r="A28" s="38" t="s">
        <v>1631</v>
      </c>
      <c r="B28" s="40">
        <f>AVERAGE($E$8,$E$9)</f>
        <v>0</v>
      </c>
    </row>
    <row r="29" spans="1:9">
      <c r="A29" s="38" t="s">
        <v>1632</v>
      </c>
      <c r="B29" s="40">
        <f>AVERAGE($E$10,$E$11,$E$12,$E$13,$E$14)</f>
        <v>9</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FCAD2-ADB0-024B-9749-19022A344BC0}">
  <sheetPr codeName="Sheet31"/>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5"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KNDS Group</v>
      </c>
    </row>
    <row r="2" spans="1:9" ht="23">
      <c r="A2" s="8" t="s">
        <v>1616</v>
      </c>
      <c r="B2" s="18">
        <f>SUM(E5:E16)/12</f>
        <v>0</v>
      </c>
    </row>
    <row r="4" spans="1:9">
      <c r="A4" s="9" t="s">
        <v>1488</v>
      </c>
      <c r="B4" s="10" t="s">
        <v>1489</v>
      </c>
      <c r="C4" s="9" t="s">
        <v>1494</v>
      </c>
      <c r="D4" s="9" t="s">
        <v>1490</v>
      </c>
      <c r="E4" s="9" t="s">
        <v>1491</v>
      </c>
      <c r="F4" s="11" t="s">
        <v>1514</v>
      </c>
      <c r="G4" s="9" t="s">
        <v>1493</v>
      </c>
      <c r="H4" s="10" t="s">
        <v>1492</v>
      </c>
      <c r="I4" s="12"/>
    </row>
    <row r="5" spans="1:9" ht="64">
      <c r="A5" s="13" t="s">
        <v>91</v>
      </c>
      <c r="B5" s="14" t="s">
        <v>1496</v>
      </c>
      <c r="C5" s="14" t="s">
        <v>1516</v>
      </c>
      <c r="D5" s="12" t="str">
        <f ca="1">VLOOKUP($A5&amp;$B$1,'Export 3 Oct'!$B$6:$K$851,5, FALSE)</f>
        <v>Nowhere</v>
      </c>
      <c r="E5" s="12">
        <v>0</v>
      </c>
      <c r="F5" s="12"/>
      <c r="G5" s="12" t="str">
        <f ca="1">VLOOKUP($A5&amp;$B$1,'Export 3 Oct'!$B$6:$K$851,6, FALSE)</f>
        <v>https://wikirate.org/~22246961</v>
      </c>
      <c r="H5" s="14"/>
      <c r="I5" s="12"/>
    </row>
    <row r="6" spans="1:9" ht="112">
      <c r="A6" s="13" t="s">
        <v>242</v>
      </c>
      <c r="B6" s="14" t="s">
        <v>1497</v>
      </c>
      <c r="C6" s="14" t="s">
        <v>1525</v>
      </c>
      <c r="D6" s="12" t="str">
        <f ca="1">VLOOKUP($A6&amp;$B$1,'Export 3 Oct'!$B$6:$K$851,5, FALSE)</f>
        <v>No report available</v>
      </c>
      <c r="E6" s="12">
        <v>0</v>
      </c>
      <c r="F6" s="12"/>
      <c r="G6" s="12" t="str">
        <f ca="1">VLOOKUP($A6&amp;$B$1,'Export 3 Oct'!$B$6:$K$851,6, FALSE)</f>
        <v>https://wikirate.org/~22246961</v>
      </c>
      <c r="H6" s="14"/>
      <c r="I6" s="12"/>
    </row>
    <row r="7" spans="1:9" ht="32">
      <c r="A7" s="13" t="s">
        <v>901</v>
      </c>
      <c r="B7" s="14" t="s">
        <v>1498</v>
      </c>
      <c r="C7" s="14" t="s">
        <v>1517</v>
      </c>
      <c r="D7" s="12" t="str">
        <f ca="1">VLOOKUP($A7&amp;$B$1,'Export 3 Oct'!$B$6:$K$851,5, FALSE)</f>
        <v>No</v>
      </c>
      <c r="E7" s="12">
        <v>0</v>
      </c>
      <c r="F7" s="12"/>
      <c r="G7" s="12" t="str">
        <f ca="1">VLOOKUP($A7&amp;$B$1,'Export 3 Oct'!$B$6:$K$851,6, FALSE)</f>
        <v>https://wikirate.org/~22246961</v>
      </c>
      <c r="H7" s="14"/>
      <c r="I7" s="12"/>
    </row>
    <row r="8" spans="1:9" ht="32">
      <c r="A8" s="13" t="s">
        <v>629</v>
      </c>
      <c r="B8" s="14" t="s">
        <v>1499</v>
      </c>
      <c r="C8" s="14" t="s">
        <v>1517</v>
      </c>
      <c r="D8" s="12" t="str">
        <f ca="1">VLOOKUP($A8&amp;$B$1,'Export 3 Oct'!$B$6:$K$851,5, FALSE)</f>
        <v>No</v>
      </c>
      <c r="E8" s="12">
        <v>0</v>
      </c>
      <c r="F8" s="12"/>
      <c r="G8" s="12" t="str">
        <f ca="1">VLOOKUP($A8&amp;$B$1,'Export 3 Oct'!$B$6:$K$851,6, FALSE)</f>
        <v>https://wikirate.org/~22246961</v>
      </c>
      <c r="H8" s="14"/>
      <c r="I8" s="12"/>
    </row>
    <row r="9" spans="1:9" ht="64">
      <c r="A9" s="13" t="s">
        <v>701</v>
      </c>
      <c r="B9" s="14" t="s">
        <v>1500</v>
      </c>
      <c r="C9" s="14" t="s">
        <v>1518</v>
      </c>
      <c r="D9" s="12" t="str">
        <f ca="1">VLOOKUP($A9&amp;$B$1,'Export 3 Oct'!$B$6:$K$851,5, FALSE)</f>
        <v>No</v>
      </c>
      <c r="E9" s="12">
        <v>0</v>
      </c>
      <c r="F9" s="12"/>
      <c r="G9" s="12" t="str">
        <f ca="1">VLOOKUP($A9&amp;$B$1,'Export 3 Oct'!$B$6:$K$851,6, FALSE)</f>
        <v>https://wikirate.org/~22246983</v>
      </c>
      <c r="H9" s="14"/>
      <c r="I9" s="12"/>
    </row>
    <row r="10" spans="1:9" ht="192">
      <c r="A10" s="13" t="s">
        <v>328</v>
      </c>
      <c r="B10" s="14" t="s">
        <v>1501</v>
      </c>
      <c r="C10" s="14" t="s">
        <v>1519</v>
      </c>
      <c r="D10" s="12" t="str">
        <f ca="1">VLOOKUP($A10&amp;$B$1,'Export 3 Oct'!$B$6:$K$851,5, FALSE)</f>
        <v>No</v>
      </c>
      <c r="E10" s="12">
        <v>0</v>
      </c>
      <c r="F10" s="12"/>
      <c r="G10" s="12" t="str">
        <f ca="1">VLOOKUP($A10&amp;$B$1,'Export 3 Oct'!$B$6:$K$851,6, FALSE)</f>
        <v>https://wikirate.org/~22246961</v>
      </c>
      <c r="H10" s="14"/>
      <c r="I10" s="12"/>
    </row>
    <row r="11" spans="1:9" ht="32">
      <c r="A11" s="13" t="s">
        <v>412</v>
      </c>
      <c r="B11" s="14" t="s">
        <v>1502</v>
      </c>
      <c r="C11" s="14" t="s">
        <v>1517</v>
      </c>
      <c r="D11" s="12" t="str">
        <f ca="1">VLOOKUP($A11&amp;$B$1,'Export 3 Oct'!$B$6:$K$851,5, FALSE)</f>
        <v>No</v>
      </c>
      <c r="E11" s="12">
        <v>0</v>
      </c>
      <c r="F11" s="12"/>
      <c r="G11" s="12" t="str">
        <f ca="1">VLOOKUP($A11&amp;$B$1,'Export 3 Oct'!$B$6:$K$851,6, FALSE)</f>
        <v>https://wikirate.org/~22246961</v>
      </c>
      <c r="H11" s="14"/>
      <c r="I11" s="12"/>
    </row>
    <row r="12" spans="1:9" ht="32">
      <c r="A12" s="13" t="s">
        <v>987</v>
      </c>
      <c r="B12" s="14" t="s">
        <v>1503</v>
      </c>
      <c r="C12" s="14" t="s">
        <v>1517</v>
      </c>
      <c r="D12" s="12" t="str">
        <f ca="1">VLOOKUP($A12&amp;$B$1,'Export 3 Oct'!$B$6:$K$851,5, FALSE)</f>
        <v>No</v>
      </c>
      <c r="E12" s="12">
        <v>0</v>
      </c>
      <c r="F12" s="12"/>
      <c r="G12" s="12" t="str">
        <f ca="1">VLOOKUP($A12&amp;$B$1,'Export 3 Oct'!$B$6:$K$851,6, FALSE)</f>
        <v>https://wikirate.org/~22246961</v>
      </c>
      <c r="H12" s="14"/>
      <c r="I12" s="12"/>
    </row>
    <row r="13" spans="1:9" ht="208">
      <c r="A13" s="13" t="s">
        <v>1044</v>
      </c>
      <c r="B13" s="14" t="s">
        <v>1504</v>
      </c>
      <c r="C13" s="14" t="s">
        <v>1520</v>
      </c>
      <c r="D13" s="12" t="str">
        <f ca="1">VLOOKUP($A13&amp;$B$1,'Export 3 Oct'!$B$6:$K$851,5, FALSE)</f>
        <v>None</v>
      </c>
      <c r="E13" s="12">
        <v>0</v>
      </c>
      <c r="F13" s="12"/>
      <c r="G13" s="12" t="str">
        <f ca="1">VLOOKUP($A13&amp;$B$1,'Export 3 Oct'!$B$6:$K$851,6, FALSE)</f>
        <v>https://wikirate.org/~22246961</v>
      </c>
      <c r="H13" s="14"/>
      <c r="I13" s="12"/>
    </row>
    <row r="14" spans="1:9" ht="128">
      <c r="A14" s="13" t="s">
        <v>495</v>
      </c>
      <c r="B14" s="14" t="s">
        <v>1505</v>
      </c>
      <c r="C14" s="14" t="s">
        <v>1521</v>
      </c>
      <c r="D14" s="12" t="str">
        <f ca="1">VLOOKUP($A14&amp;$B$1,'Export 3 Oct'!$B$6:$K$851,5, FALSE)</f>
        <v>No</v>
      </c>
      <c r="E14" s="12">
        <v>0</v>
      </c>
      <c r="F14" s="12"/>
      <c r="G14" s="12" t="str">
        <f ca="1">VLOOKUP($A14&amp;$B$1,'Export 3 Oct'!$B$6:$K$851,6, FALSE)</f>
        <v>https://wikirate.org/~22246961</v>
      </c>
      <c r="H14" s="14"/>
      <c r="I14" s="12"/>
    </row>
    <row r="15" spans="1:9" ht="32">
      <c r="A15" s="13" t="s">
        <v>577</v>
      </c>
      <c r="B15" s="14" t="s">
        <v>1506</v>
      </c>
      <c r="C15" s="14" t="s">
        <v>1517</v>
      </c>
      <c r="D15" s="12" t="str">
        <f ca="1">VLOOKUP($A15&amp;$B$1,'Export 3 Oct'!$B$6:$K$851,5, FALSE)</f>
        <v>No</v>
      </c>
      <c r="E15" s="12">
        <v>0</v>
      </c>
      <c r="F15" s="12"/>
      <c r="G15" s="12" t="str">
        <f ca="1">VLOOKUP($A15&amp;$B$1,'Export 3 Oct'!$B$6:$K$851,6, FALSE)</f>
        <v>https://wikirate.org/~22246961</v>
      </c>
      <c r="H15" s="14"/>
      <c r="I15" s="12"/>
    </row>
    <row r="16" spans="1:9" ht="48">
      <c r="A16" s="13" t="s">
        <v>1143</v>
      </c>
      <c r="B16" s="14" t="s">
        <v>1507</v>
      </c>
      <c r="C16" s="14" t="s">
        <v>1522</v>
      </c>
      <c r="D16" s="12" t="str">
        <f ca="1">VLOOKUP($A16&amp;$B$1,'Export 3 Oct'!$B$6:$K$851,5, FALSE)</f>
        <v>Not specified</v>
      </c>
      <c r="E16" s="12">
        <v>0</v>
      </c>
      <c r="F16" s="12"/>
      <c r="G16" s="12" t="str">
        <f ca="1">VLOOKUP($A16&amp;$B$1,'Export 3 Oct'!$B$6:$K$851,6, FALSE)</f>
        <v>https://wikirate.org/~22246961</v>
      </c>
      <c r="H16" s="14"/>
      <c r="I16" s="12"/>
    </row>
    <row r="17" spans="1:9">
      <c r="A17" s="15" t="s">
        <v>1512</v>
      </c>
      <c r="B17" s="16"/>
      <c r="C17" s="17"/>
      <c r="D17" s="17"/>
      <c r="E17" s="17"/>
      <c r="F17" s="17"/>
      <c r="G17" s="17"/>
      <c r="H17" s="16"/>
      <c r="I17" s="12"/>
    </row>
    <row r="18" spans="1:9" ht="32">
      <c r="A18" s="13" t="s">
        <v>1195</v>
      </c>
      <c r="B18" s="14" t="s">
        <v>1508</v>
      </c>
      <c r="C18" s="12" t="s">
        <v>1523</v>
      </c>
      <c r="D18" s="12" t="str">
        <f ca="1">VLOOKUP($A18&amp;$B$1,'Export 3 Oct'!$B$6:$K$851,5, FALSE)</f>
        <v>No</v>
      </c>
      <c r="E18" s="12" t="s">
        <v>1515</v>
      </c>
      <c r="F18" s="12"/>
      <c r="G18" s="12" t="str">
        <f ca="1">VLOOKUP($A18&amp;$B$1,'Export 3 Oct'!$B$6:$K$851,6, FALSE)</f>
        <v>https://wikirate.org/~22246961</v>
      </c>
      <c r="H18" s="14"/>
      <c r="I18" s="12"/>
    </row>
    <row r="19" spans="1:9" ht="32">
      <c r="A19" s="13" t="s">
        <v>1280</v>
      </c>
      <c r="B19" s="14" t="s">
        <v>1509</v>
      </c>
      <c r="C19" s="12" t="s">
        <v>1523</v>
      </c>
      <c r="D19" s="12" t="str">
        <f ca="1">VLOOKUP($A19&amp;$B$1,'Export 3 Oct'!$B$6:$K$851,5, FALSE)</f>
        <v>No</v>
      </c>
      <c r="E19" s="12" t="s">
        <v>1515</v>
      </c>
      <c r="F19" s="12"/>
      <c r="G19" s="12" t="str">
        <f ca="1">VLOOKUP($A19&amp;$B$1,'Export 3 Oct'!$B$6:$K$851,6, FALSE)</f>
        <v>https://wikirate.org/~22246961</v>
      </c>
      <c r="H19" s="14"/>
      <c r="I19" s="12"/>
    </row>
    <row r="20" spans="1:9" ht="48">
      <c r="A20" s="13" t="s">
        <v>814</v>
      </c>
      <c r="B20" s="14" t="s">
        <v>1510</v>
      </c>
      <c r="C20" s="14" t="s">
        <v>1524</v>
      </c>
      <c r="D20" s="12" t="str">
        <f ca="1">VLOOKUP($A20&amp;$B$1,'Export 3 Oct'!$B$6:$K$851,5, FALSE)</f>
        <v>No assurance given</v>
      </c>
      <c r="E20" s="12" t="s">
        <v>1515</v>
      </c>
      <c r="F20" s="12"/>
      <c r="G20" s="12" t="str">
        <f ca="1">VLOOKUP($A20&amp;$B$1,'Export 3 Oct'!$B$6:$K$851,6, FALSE)</f>
        <v>https://wikirate.org/~22246961</v>
      </c>
      <c r="H20" s="14"/>
      <c r="I20" s="12"/>
    </row>
    <row r="21" spans="1:9">
      <c r="A21" s="13" t="s">
        <v>13</v>
      </c>
      <c r="B21" s="14" t="s">
        <v>1511</v>
      </c>
      <c r="C21" s="12" t="s">
        <v>1523</v>
      </c>
      <c r="D21" s="12" t="str">
        <f ca="1">VLOOKUP($A21&amp;$B$1,'Export 3 Oct'!$B$6:$K$851,5, FALSE)</f>
        <v>No</v>
      </c>
      <c r="E21" s="12" t="s">
        <v>1515</v>
      </c>
      <c r="F21" s="12"/>
      <c r="G21" s="12" t="str">
        <f ca="1">VLOOKUP($A21&amp;$B$1,'Export 3 Oct'!$B$6:$K$851,6, FALSE)</f>
        <v>https://wikirate.org/~22246961</v>
      </c>
      <c r="H21" s="14"/>
      <c r="I21" s="12"/>
    </row>
    <row r="26" spans="1:9">
      <c r="A26" s="39" t="s">
        <v>1634</v>
      </c>
    </row>
    <row r="27" spans="1:9">
      <c r="A27" s="38" t="s">
        <v>1630</v>
      </c>
      <c r="B27" s="40">
        <f>AVERAGE($E$5,$E$6,$E$7)</f>
        <v>0</v>
      </c>
    </row>
    <row r="28" spans="1:9">
      <c r="A28" s="38" t="s">
        <v>1631</v>
      </c>
      <c r="B28" s="40">
        <f>AVERAGE($E$8,$E$9)</f>
        <v>0</v>
      </c>
    </row>
    <row r="29" spans="1:9">
      <c r="A29" s="38" t="s">
        <v>1632</v>
      </c>
      <c r="B29" s="40">
        <f>AVERAGE($E$10,$E$11,$E$12,$E$13,$E$14)</f>
        <v>0</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C9BB6-C35D-4444-9D54-AED83604D8CA}">
  <sheetPr codeName="Sheet32"/>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Krones AG</v>
      </c>
    </row>
    <row r="2" spans="1:9" ht="23">
      <c r="A2" s="8" t="s">
        <v>1616</v>
      </c>
      <c r="B2" s="18">
        <f>SUM(E5:E16)/12</f>
        <v>4.583333333333333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https://wikirate.org/~22211457</v>
      </c>
      <c r="H5" s="14" t="str">
        <f ca="1">VLOOKUP($A5&amp;$B$1,'Export 3 Oct'!$B$6:$K$851,10, FALSE)</f>
        <v>https://www.krones.com/en/company/investor-relations/reports.php Yohann[https://wikirate.org/Yohann].....2025-08-13 15:16:06 UTC Also found here: https://www.annualreports.com/Company/krones Aureliane[https://wikirate.org/Aureliane].....2025-08-26 14:38:00 UTC</v>
      </c>
      <c r="I5" s="12"/>
    </row>
    <row r="6" spans="1:9" ht="112">
      <c r="A6" s="13" t="s">
        <v>242</v>
      </c>
      <c r="B6" s="14" t="s">
        <v>1497</v>
      </c>
      <c r="C6" s="14" t="s">
        <v>1525</v>
      </c>
      <c r="D6" s="14" t="str">
        <f ca="1">VLOOKUP($A6&amp;$B$1,'Export 3 Oct'!$B$6:$K$851,5, FALSE)</f>
        <v>PDF (text based), Web HTML page</v>
      </c>
      <c r="E6" s="12">
        <v>5</v>
      </c>
      <c r="F6" s="12"/>
      <c r="G6" s="12" t="str">
        <f ca="1">VLOOKUP($A6&amp;$B$1,'Export 3 Oct'!$B$6:$K$851,6, FALSE)</f>
        <v>https://wikirate.org/~22211457</v>
      </c>
      <c r="H6" s="14" t="str">
        <f ca="1">VLOOKUP($A6&amp;$B$1,'Export 3 Oct'!$B$6:$K$851,10, FALSE)</f>
        <v>https://www.krones.com/en/company/investor-relations/reports.php Yohann[https://wikirate.org/Yohann].....2025-08-13 15:19:34 UTC</v>
      </c>
      <c r="I6" s="12"/>
    </row>
    <row r="7" spans="1:9" ht="32">
      <c r="A7" s="13" t="s">
        <v>901</v>
      </c>
      <c r="B7" s="14" t="s">
        <v>1498</v>
      </c>
      <c r="C7" s="14" t="s">
        <v>1517</v>
      </c>
      <c r="D7" s="14" t="str">
        <f ca="1">VLOOKUP($A7&amp;$B$1,'Export 3 Oct'!$B$6:$K$851,5, FALSE)</f>
        <v>Yes</v>
      </c>
      <c r="E7" s="12">
        <v>10</v>
      </c>
      <c r="F7" s="12"/>
      <c r="G7" s="12" t="str">
        <f ca="1">VLOOKUP($A7&amp;$B$1,'Export 3 Oct'!$B$6:$K$851,6, FALSE)</f>
        <v>https://wikirate.org/~22211457</v>
      </c>
      <c r="H7" s="14"/>
      <c r="I7" s="12"/>
    </row>
    <row r="8" spans="1:9" ht="48">
      <c r="A8" s="13" t="s">
        <v>629</v>
      </c>
      <c r="B8" s="14" t="s">
        <v>1499</v>
      </c>
      <c r="C8" s="14" t="s">
        <v>1517</v>
      </c>
      <c r="D8" s="14" t="str">
        <f ca="1">VLOOKUP($A8&amp;$B$1,'Export 3 Oct'!$B$6:$K$851,5, FALSE)</f>
        <v>No</v>
      </c>
      <c r="E8" s="12">
        <v>0</v>
      </c>
      <c r="F8" s="12"/>
      <c r="G8" s="12" t="str">
        <f ca="1">VLOOKUP($A8&amp;$B$1,'Export 3 Oct'!$B$6:$K$851,6, FALSE)</f>
        <v>https://wikirate.org/~21496035</v>
      </c>
      <c r="H8" s="14" t="str">
        <f ca="1">VLOOKUP($A8&amp;$B$1,'Export 3 Oct'!$B$6:$K$851,10, FALSE)</f>
        <v>no links but refers to other pages Yohann[https://wikirate.org/Yohann].....2025-08-13 15:21:55 UTC No links even when they describe their policy documents p.93 Aureliane[https://wikirate.org/Aureliane].....2025-08-26 14:50:59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https://wikirate.org/~22211540</v>
      </c>
      <c r="H9" s="14" t="str">
        <f ca="1">VLOOKUP($A9&amp;$B$1,'Export 3 Oct'!$B$6:$K$851,10, FALSE)</f>
        <v>https://www.krones.com/en/company/responsibility/downloads.php Yohann[https://wikirate.org/Yohann].....2025-08-13 15:26:01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https://wikirate.org/~21496035</v>
      </c>
      <c r="H10" s="14" t="str">
        <f ca="1">VLOOKUP($A10&amp;$B$1,'Export 3 Oct'!$B$6:$K$851,10, FALSE)</f>
        <v>p. 310 they have the list with the percentage of shares of other companies they own but no entity IDs. Yohann[https://wikirate.org/Yohann].....2025-08-13 15:30:54 UTC p. 35 Under Key Data for Krones Share ISIN Xetra Ticker symbol German Securities number Aureliane[https://wikirate.org/Aureliane].....2025-08-26 14:59:08 UTC</v>
      </c>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https://wikirate.org/~21496035</v>
      </c>
      <c r="H11" s="14" t="str">
        <f ca="1">VLOOKUP($A11&amp;$B$1,'Export 3 Oct'!$B$6:$K$851,10, FALSE)</f>
        <v>1 January to 31 December 2024 p. 329 first paragraph under "Assurance conclusion" (can't copy paste, need a password). Yohann[https://wikirate.org/Yohann].....2025-08-13 15:33:50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https://wikirate.org/~21496035</v>
      </c>
      <c r="H12" s="14" t="str">
        <f ca="1">VLOOKUP($A12&amp;$B$1,'Export 3 Oct'!$B$6:$K$851,10, FALSE)</f>
        <v>Misaligned by 1 page Aureliane[https://wikirate.org/Aureliane].....2025-08-26 15:00:30 UTC</v>
      </c>
      <c r="I12" s="12"/>
    </row>
    <row r="13" spans="1:9" ht="208">
      <c r="A13" s="13" t="s">
        <v>1044</v>
      </c>
      <c r="B13" s="14" t="s">
        <v>1504</v>
      </c>
      <c r="C13" s="14" t="s">
        <v>1520</v>
      </c>
      <c r="D13" s="14" t="str">
        <f ca="1">VLOOKUP($A13&amp;$B$1,'Export 3 Oct'!$B$6:$K$851,5, FALSE)</f>
        <v>ISSB (IFRS), CSRD (ESRS), Greenhouse Gas Protocol</v>
      </c>
      <c r="E13" s="12">
        <v>10</v>
      </c>
      <c r="F13" s="12"/>
      <c r="G13" s="12" t="str">
        <f ca="1">VLOOKUP($A13&amp;$B$1,'Export 3 Oct'!$B$6:$K$851,6, FALSE)</f>
        <v>https://wikirate.org/~21496035</v>
      </c>
      <c r="H13" s="14" t="str">
        <f ca="1">VLOOKUP($A13&amp;$B$1,'Export 3 Oct'!$B$6:$K$851,10, FALSE)</f>
        <v>IFRS p. 131 first paragraph ESRS p. 77 Greenhouse Gas Protocol is mentioned p. 94 as "Third Party Standards and Initiatives" but not sure if it's used for reporting, rather for setting their target (cf. p. 103) Yohann[https://wikirate.org/Yohann].....2025-08-13 15:44:49 UTC p.104: indications that they used the GHG protocol for reporting "Our Scope 2 target uses the market-based ap-proach, with Scope 2 emissions reported in accordance with the GHG Protocol to avoid double counting" Aureliane[https://wikirate.org/Aureliane].....2025-08-26 15:06:41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https://wikirate.org/~21496035</v>
      </c>
      <c r="H14" s="14" t="str">
        <f ca="1">VLOOKUP($A14&amp;$B$1,'Export 3 Oct'!$B$6:$K$851,10, FALSE)</f>
        <v>index pp. 171/ 175 Yohann[https://wikirate.org/Yohann].....2025-08-13 15:47:32 UTC The indicators are provided but only at the first level, e.g. "Water resources (ESrS E3)" Aureliane[https://wikirate.org/Aureliane].....2025-08-26 15:09:59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https://wikirate.org/~21496035</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https://wikirate.org/~21496035</v>
      </c>
      <c r="H16" s="14"/>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https://wikirate.org/~21496035</v>
      </c>
      <c r="H18" s="14" t="str">
        <f ca="1">VLOOKUP($A18&amp;$B$1,'Export 3 Oct'!$B$6:$K$851,10, FALSE)</f>
        <v>p. 87 First paragraph, first sentence Yohann[https://wikirate.org/Yohann].....2025-08-13 15:50:35 UTC p.87 For the combined non-financial statement for the 2024 financial year, a double materiality assessment for the Krones Group was carried out for the first time in accordance with the requirements of the ESRS Aureliane[https://wikirate.org/Aureliane].....2025-08-26 15:13:24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https://wikirate.org/~21496035</v>
      </c>
      <c r="H19" s="14" t="str">
        <f ca="1">VLOOKUP($A19&amp;$B$1,'Export 3 Oct'!$B$6:$K$851,10, FALSE)</f>
        <v>p.175 Lobbying and political influence is not included in the list of disclosues Aureliane[https://wikirate.org/Aureliane].....2025-08-26 15:14:56 UTC</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https://wikirate.org/~21496035</v>
      </c>
      <c r="H20" s="14" t="str">
        <f ca="1">VLOOKUP($A20&amp;$B$1,'Export 3 Oct'!$B$6:$K$851,10, FALSE)</f>
        <v>p. 329 first paragraph Yohann[https://wikirate.org/Yohann].....2025-08-13 15:55:12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https://wikirate.org/~21496035</v>
      </c>
      <c r="H21" s="14" t="str">
        <f ca="1">VLOOKUP($A21&amp;$B$1,'Export 3 Oct'!$B$6:$K$851,10, FALSE)</f>
        <v>p. 156 first paragraph Yohann[https://wikirate.org/Yohann].....2025-08-13 15:56:51 UTC p. 141: outline of the process including audits to manage suppliers Aureliane[https://wikirate.org/Aureliane].....2025-08-26 15:16:29 UTC</v>
      </c>
      <c r="I21" s="12"/>
    </row>
    <row r="26" spans="1:9">
      <c r="A26" s="39" t="s">
        <v>1634</v>
      </c>
    </row>
    <row r="27" spans="1:9">
      <c r="A27" s="38" t="s">
        <v>1630</v>
      </c>
      <c r="B27" s="40">
        <f>AVERAGE($E$5,$E$6,$E$7)</f>
        <v>8.3333333333333339</v>
      </c>
    </row>
    <row r="28" spans="1:9">
      <c r="A28" s="38" t="s">
        <v>1631</v>
      </c>
      <c r="B28" s="40">
        <f>AVERAGE($E$8,$E$9)</f>
        <v>2.5</v>
      </c>
    </row>
    <row r="29" spans="1:9">
      <c r="A29" s="38" t="s">
        <v>1632</v>
      </c>
      <c r="B29" s="40">
        <f>AVERAGE($E$10,$E$11,$E$12,$E$13,$E$14)</f>
        <v>5</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C00A5-AA95-604A-B285-0F10324152D3}">
  <sheetPr codeName="Sheet33"/>
  <dimension ref="A1:I30"/>
  <sheetViews>
    <sheetView topLeftCell="A16"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Lanxess</v>
      </c>
    </row>
    <row r="2" spans="1:9" ht="23">
      <c r="A2" s="8" t="s">
        <v>1617</v>
      </c>
      <c r="B2" s="18">
        <f>SUM(E5:E16)/12</f>
        <v>4.5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https://wikirate.org/~22218731</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https://wikirate.org/~21495987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https://wikirate.org/~22218731</v>
      </c>
      <c r="H7" s="14"/>
      <c r="I7" s="12"/>
    </row>
    <row r="8" spans="1:9" ht="48">
      <c r="A8" s="13" t="s">
        <v>629</v>
      </c>
      <c r="B8" s="14" t="s">
        <v>1499</v>
      </c>
      <c r="C8" s="14" t="s">
        <v>1517</v>
      </c>
      <c r="D8" s="14" t="str">
        <f ca="1">VLOOKUP($A8&amp;$B$1,'Export 3 Oct'!$B$6:$K$851,5, FALSE)</f>
        <v>No</v>
      </c>
      <c r="E8" s="12">
        <v>0</v>
      </c>
      <c r="F8" s="12"/>
      <c r="G8" s="12" t="str">
        <f ca="1">VLOOKUP($A8&amp;$B$1,'Export 3 Oct'!$B$6:$K$851,6, FALSE)</f>
        <v>https://wikirate.org/~21495987</v>
      </c>
      <c r="H8" s="14" t="str">
        <f ca="1">VLOOKUP($A8&amp;$B$1,'Export 3 Oct'!$B$6:$K$851,10, FALSE)</f>
        <v>"The valid ‚ÄúLANXESS Corporate Policy‚Äù is accessible to all employees via the Xdirect document management system available throughout the Group and is publicly available on the LANXESS website. " Lucia Ixtacuy[https://wikirate.org/Lucia_Ixtacuy].....2025-08-14 15:07:38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https://wikirate.org/~22218769</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https://wikirate.org/~21495987</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https://wikirate.org/~21495987</v>
      </c>
      <c r="H11" s="14" t="str">
        <f ca="1">VLOOKUP($A11&amp;$B$1,'Export 3 Oct'!$B$6:$K$851,10, FALSE)</f>
        <v>" This Sustainability Report pertains to the period from January 1 through December 31, 2024" p. 87 Lucia Ixtacuy[https://wikirate.org/Lucia_Ixtacuy].....2025-08-11 14:52:16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https://wikirate.org/~21495987</v>
      </c>
      <c r="H12" s="14"/>
      <c r="I12" s="12"/>
    </row>
    <row r="13" spans="1:9" ht="208">
      <c r="A13" s="13" t="s">
        <v>1044</v>
      </c>
      <c r="B13" s="14" t="s">
        <v>1504</v>
      </c>
      <c r="C13" s="14" t="s">
        <v>1520</v>
      </c>
      <c r="D13" s="14" t="str">
        <f ca="1">VLOOKUP($A13&amp;$B$1,'Export 3 Oct'!$B$6:$K$851,5, FALSE)</f>
        <v>CSRD (ESRS)</v>
      </c>
      <c r="E13" s="12">
        <v>10</v>
      </c>
      <c r="F13" s="12"/>
      <c r="G13" s="12" t="str">
        <f ca="1">VLOOKUP($A13&amp;$B$1,'Export 3 Oct'!$B$6:$K$851,6, FALSE)</f>
        <v>https://wikirate.org/~21495987</v>
      </c>
      <c r="H13" s="14" t="str">
        <f ca="1">VLOOKUP($A13&amp;$B$1,'Export 3 Oct'!$B$6:$K$851,10, FALSE)</f>
        <v>"The consolidated financial statements of the LANXESS Group were prepared in accordance with the International Financial Reporting Standards (IFRS) as endorsed by the European Union(E.U.) and the corresponding interpretations, together with the additional requirements of Section 315e, Paragraph 1, of the German Commercial Code (HGB). According to the ESRS, the scope of consolidation can deviate from that of the financial reporting due to the operational control criterion. ... " p. 87 " Although the CSRD had not been implemented in national law in Germany by December 31, 2024, the LANXESS Group voluntarily and fully applied the ESRS as a framework for its Sustainability Report. " Lucia Ixtacuy[https://wikirate.org/Lucia_Ixtacuy].....2025-08-11 15:05:57 UTC IFRS is used but only for their financial disclosures Laureen van Breen[https://wikirate.org/Laureen_van_Breen].....2025-09-22 07:52:17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https://wikirate.org/~21495987</v>
      </c>
      <c r="H14" s="14" t="str">
        <f ca="1">VLOOKUP($A14&amp;$B$1,'Export 3 Oct'!$B$6:$K$851,10, FALSE)</f>
        <v>p. 95 Lucia Ixtacuy[https://wikirate.org/Lucia_Ixtacuy].....2025-08-11 15:15:41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https://wikirate.org/~21495987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https://wikirate.org/~21495987</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https://wikirate.org/~21495987</v>
      </c>
      <c r="H18" s="14" t="str">
        <f ca="1">VLOOKUP($A18&amp;$B$1,'Export 3 Oct'!$B$6:$K$851,10, FALSE)</f>
        <v>p. 16 p. 124 Lucia Ixtacuy[https://wikirate.org/Lucia_Ixtacuy].....2025-08-14 14:43:03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https://wikirate.org/~21495987</v>
      </c>
      <c r="H19" s="14" t="str">
        <f ca="1">VLOOKUP($A19&amp;$B$1,'Export 3 Oct'!$B$6:$K$851,10, FALSE)</f>
        <v>ESRS G1-5 is listed but no disclosure is made. Lucia Ixtacuy[https://wikirate.org/Lucia_Ixtacuy].....2025-08-13 08:45:05 UTC</v>
      </c>
      <c r="I19" s="12"/>
    </row>
    <row r="20" spans="1:9" ht="80">
      <c r="A20" s="13" t="s">
        <v>814</v>
      </c>
      <c r="B20" s="14" t="s">
        <v>1510</v>
      </c>
      <c r="C20" s="14" t="s">
        <v>1524</v>
      </c>
      <c r="D20" s="14" t="str">
        <f ca="1">VLOOKUP($A20&amp;$B$1,'Export 3 Oct'!$B$6:$K$851,5, FALSE)</f>
        <v>Reasonable assurance</v>
      </c>
      <c r="E20" s="12" t="s">
        <v>1515</v>
      </c>
      <c r="F20" s="12"/>
      <c r="G20" s="12" t="str">
        <f ca="1">VLOOKUP($A20&amp;$B$1,'Export 3 Oct'!$B$6:$K$851,6, FALSE)</f>
        <v>https://wikirate.org/~21495987</v>
      </c>
      <c r="H20" s="14" t="str">
        <f ca="1">VLOOKUP($A20&amp;$B$1,'Export 3 Oct'!$B$6:$K$851,10, FALSE)</f>
        <v>"The following qualitative and quantitative disclosures in the Sustainability Report, marked with {}, were subjected to an audit in accordance with the International Standard on Assurance Engagements ISAE 3000 (Revised)‚Äú Assurance Engagements Other than Audits or Reviews of Historical Financial Information‚Äù to achieve reasonable assurance." p. 87 Lucia Ixtacuy[https://wikirate.org/Lucia_Ixtacuy].....2025-08-13 08:48:17 UTC</v>
      </c>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https://wikirate.org/~21495987</v>
      </c>
      <c r="H21" s="14" t="str">
        <f ca="1">VLOOKUP($A21&amp;$B$1,'Export 3 Oct'!$B$6:$K$851,10, FALSE)</f>
        <v>p. 212 "The TfS audits review ad hoc criteria in the areas of management, environment, health, safety, labor and human rights, and business conduct. If the TfS audits detect anomalies, the suppliers develop corrective actionplans, and implementation of these is re-reviewed by the auditor within 12 months in the case of important or critical findings.1) ". TFS Together for sustainability p. 128 "This is why LANXESS is a founding member of the ‚ÄúTogether for Sustainability‚Äù initiative (TfS). 1) TfS has established itself in the chemicals industry as a frequently applied sector standard for sustainable supply chains. " Lucia Ixtacuy[https://wikirate.org/Lucia_Ixtacuy].....2025-08-13 08:54:22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5</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6F465-3F23-AB49-B2BD-92D2CF13C70F}">
  <sheetPr codeName="Sheet34"/>
  <dimension ref="A1:I30"/>
  <sheetViews>
    <sheetView topLeftCell="A23"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Leonardo</v>
      </c>
    </row>
    <row r="2" spans="1:9" ht="23">
      <c r="A2" s="8" t="s">
        <v>1616</v>
      </c>
      <c r="B2" s="18">
        <f>SUM(E5:E16)/12</f>
        <v>3.6666666666666665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https://wikirate.org/~22247141</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https://wikirate.org/~21495999</v>
      </c>
      <c r="H6" s="14" t="str">
        <f ca="1">VLOOKUP($A6&amp;$B$1,'Export 3 Oct'!$B$6:$K$851,10, FALSE)</f>
        <v>There is also an entry for the report in the XBRL filings database, but only the financial data has been tagged. Laureen van Breen[https://wikirate.org/Laureen_van_Breen].....2025-09-21 12:16:08 UTC</v>
      </c>
      <c r="I6" s="12"/>
    </row>
    <row r="7" spans="1:9" ht="32">
      <c r="A7" s="13" t="s">
        <v>901</v>
      </c>
      <c r="B7" s="14" t="s">
        <v>1498</v>
      </c>
      <c r="C7" s="14" t="s">
        <v>1517</v>
      </c>
      <c r="D7" s="14" t="str">
        <f ca="1">VLOOKUP($A7&amp;$B$1,'Export 3 Oct'!$B$6:$K$851,5, FALSE)</f>
        <v>Yes</v>
      </c>
      <c r="E7" s="12">
        <v>10</v>
      </c>
      <c r="F7" s="12"/>
      <c r="G7" s="12" t="str">
        <f ca="1">VLOOKUP($A7&amp;$B$1,'Export 3 Oct'!$B$6:$K$851,6, FALSE)</f>
        <v>https://wikirate.org/~22247157</v>
      </c>
      <c r="H7" s="14"/>
      <c r="I7" s="12"/>
    </row>
    <row r="8" spans="1:9" ht="80">
      <c r="A8" s="13" t="s">
        <v>629</v>
      </c>
      <c r="B8" s="14" t="s">
        <v>1499</v>
      </c>
      <c r="C8" s="14" t="s">
        <v>1517</v>
      </c>
      <c r="D8" s="14" t="str">
        <f ca="1">VLOOKUP($A8&amp;$B$1,'Export 3 Oct'!$B$6:$K$851,5, FALSE)</f>
        <v>No</v>
      </c>
      <c r="E8" s="12">
        <v>0</v>
      </c>
      <c r="F8" s="12"/>
      <c r="G8" s="12" t="str">
        <f ca="1">VLOOKUP($A8&amp;$B$1,'Export 3 Oct'!$B$6:$K$851,6, FALSE)</f>
        <v>https://wikirate.org/~21495999</v>
      </c>
      <c r="H8" s="14" t="str">
        <f ca="1">VLOOKUP($A8&amp;$B$1,'Export 3 Oct'!$B$6:$K$851,10, FALSE)</f>
        <v>For example, a link to the "supplier code of conduct" appears as footnote only once Thomas Howie[https://wikirate.org/Thomas_Howie].....2025-08-20 10:19:07 UTC A few things are linked to from footnotes (e.g. page 90 remuneration report), but these do not constitute essential supporting documentation on sustainability practices like codes of conduct or policies. Laureen van Breen[https://wikirate.org/Laureen_van_Breen].....2025-09-21 12:22:53 UTC</v>
      </c>
      <c r="I8" s="12"/>
    </row>
    <row r="9" spans="1:9" ht="64">
      <c r="A9" s="13" t="s">
        <v>701</v>
      </c>
      <c r="B9" s="14" t="s">
        <v>1500</v>
      </c>
      <c r="C9" s="14" t="s">
        <v>1518</v>
      </c>
      <c r="D9" s="14" t="str">
        <f ca="1">VLOOKUP($A9&amp;$B$1,'Export 3 Oct'!$B$6:$K$851,5, FALSE)</f>
        <v>No</v>
      </c>
      <c r="E9" s="12">
        <v>0</v>
      </c>
      <c r="F9" s="12"/>
      <c r="G9" s="12" t="str">
        <f ca="1">VLOOKUP($A9&amp;$B$1,'Export 3 Oct'!$B$6:$K$851,6, FALSE)</f>
        <v>https://wikirate.org/~22247157</v>
      </c>
      <c r="H9" s="14" t="str">
        <f ca="1">VLOOKUP($A9&amp;$B$1,'Export 3 Oct'!$B$6:$K$851,10, FALSE)</f>
        <v>Links to codes of conduct in the report go straight to the PDF, I couldn't find a list of documents on their website Thomas Howie[https://wikirate.org/Thomas_Howie].....2025-08-20 10:24:07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https://wikirate.org/~21495999</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https://wikirate.org/~21495999</v>
      </c>
      <c r="H11" s="14" t="str">
        <f ca="1">VLOOKUP($A11&amp;$B$1,'Export 3 Oct'!$B$6:$K$851,10, FALSE)</f>
        <v>p6 "Report on operations at 31 December 2024" Thomas Howie[https://wikirate.org/Thomas_Howie].....2025-08-20 10:34:27 UTC</v>
      </c>
      <c r="I11" s="12"/>
    </row>
    <row r="12" spans="1:9" ht="48">
      <c r="A12" s="13" t="s">
        <v>987</v>
      </c>
      <c r="B12" s="14" t="s">
        <v>1503</v>
      </c>
      <c r="C12" s="14" t="s">
        <v>1517</v>
      </c>
      <c r="D12" s="14" t="str">
        <f ca="1">VLOOKUP($A12&amp;$B$1,'Export 3 Oct'!$B$6:$K$851,5, FALSE)</f>
        <v>No</v>
      </c>
      <c r="E12" s="12">
        <v>0</v>
      </c>
      <c r="F12" s="12"/>
      <c r="G12" s="12" t="str">
        <f ca="1">VLOOKUP($A12&amp;$B$1,'Export 3 Oct'!$B$6:$K$851,6, FALSE)</f>
        <v>https://wikirate.org/~21495999</v>
      </c>
      <c r="H12" s="14" t="str">
        <f ca="1">VLOOKUP($A12&amp;$B$1,'Export 3 Oct'!$B$6:$K$851,10, FALSE)</f>
        <v>At the start of the document page numbering is aligned, but this changes later on (eg. p. 404 in the document is referred to as p. 368) Laureen van Breen[https://wikirate.org/Laureen_van_Breen].....2025-09-21 12:39:03 UTC</v>
      </c>
      <c r="I12" s="12"/>
    </row>
    <row r="13" spans="1:9" ht="208">
      <c r="A13" s="13" t="s">
        <v>1044</v>
      </c>
      <c r="B13" s="14" t="s">
        <v>1504</v>
      </c>
      <c r="C13" s="14" t="s">
        <v>1520</v>
      </c>
      <c r="D13" s="14" t="str">
        <f ca="1">VLOOKUP($A13&amp;$B$1,'Export 3 Oct'!$B$6:$K$851,5, FALSE)</f>
        <v>SASB, CSRD (ESRS)</v>
      </c>
      <c r="E13" s="12">
        <v>10</v>
      </c>
      <c r="F13" s="12"/>
      <c r="G13" s="12" t="str">
        <f ca="1">VLOOKUP($A13&amp;$B$1,'Export 3 Oct'!$B$6:$K$851,6, FALSE)</f>
        <v>https://wikirate.org/~21495999</v>
      </c>
      <c r="H13" s="14" t="str">
        <f ca="1">VLOOKUP($A13&amp;$B$1,'Export 3 Oct'!$B$6:$K$851,10, FALSE)</f>
        <v>p6 "The Integrated Annual Report is composed of: the Report on Operations, which includes the Consolidated Sustainability Statement (CSS) pursuant to Legislative Decree 125/2024, which transposes in Italy the European Directive CSRD (Corporate Sustainability Reporting Directive); the Consolidated Financial Statements; the Separate Financial Statements of Leonardo SpA. Leonardo‚Äôs decision to adopt an integrated approach to its Report has anticipated what is envisaged by the Corporate Sustainability Reporting Directive, which requires companies to publish sustainability disclosures in the Report on Operations starting from Reports issued in 2025. In preparing the Integrated Annual Report, the following have been taken into account: the priorities reported by ESMA (European Securities and Markets Authority) for financial statements prepared according to the International Financial Reporting Standards (IFRS) and for non-financial disclosures, the Integrated Reporting Framework, the standards of the Sustainabil...</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https://wikirate.org/~21495999</v>
      </c>
      <c r="H14" s="14" t="str">
        <f ca="1">VLOOKUP($A14&amp;$B$1,'Export 3 Oct'!$B$6:$K$851,10, FALSE)</f>
        <v>p 409 - 421 ESRS index p 422 - 423 SASB index Thomas Howie[https://wikirate.org/Thomas_Howie].....2025-08-20 14:14:19 UTC The indexes however do not include page reference and the location reference are too general/high-level or even confusing to help the reader identify exactly where what information is disclosed. Laureen van Breen[https://wikirate.org/Laureen_van_Breen].....2025-09-21 12:35:58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https://wikirate.org/~21495999</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https://wikirate.org/~21495999</v>
      </c>
      <c r="H16" s="14"/>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https://wikirate.org/~21495999</v>
      </c>
      <c r="H18" s="14" t="str">
        <f ca="1">VLOOKUP($A18&amp;$B$1,'Export 3 Oct'!$B$6:$K$851,10, FALSE)</f>
        <v>p94 "Leonardo has identified impacts, risks and opportunities through the double materiality analysis, whose process is illustrated below. " Thomas Howie[https://wikirate.org/Thomas_Howie].....2025-08-20 14:16:48 UTC</v>
      </c>
      <c r="I18" s="12"/>
    </row>
    <row r="19" spans="1:9" ht="80">
      <c r="A19" s="13" t="s">
        <v>1280</v>
      </c>
      <c r="B19" s="14" t="s">
        <v>1509</v>
      </c>
      <c r="C19" s="12" t="s">
        <v>1523</v>
      </c>
      <c r="D19" s="14" t="str">
        <f ca="1">VLOOKUP($A19&amp;$B$1,'Export 3 Oct'!$B$6:$K$851,5, FALSE)</f>
        <v>Yes</v>
      </c>
      <c r="E19" s="12" t="s">
        <v>1515</v>
      </c>
      <c r="F19" s="12"/>
      <c r="G19" s="12" t="str">
        <f ca="1">VLOOKUP($A19&amp;$B$1,'Export 3 Oct'!$B$6:$K$851,6, FALSE)</f>
        <v>https://wikirate.org/~21495999</v>
      </c>
      <c r="H19" s="14" t="str">
        <f ca="1">VLOOKUP($A19&amp;$B$1,'Export 3 Oct'!$B$6:$K$851,10, FALSE)</f>
        <v>p185 "In 2024, the expenses for lobbying activities carried out exclusively by the Group's non-Italian Subsidiaries in the countries in which it is permitted by the relevant regulations in force, amounted to approximately USDmil. 2 (about USDmil. 2 in 2023 and USDmil. 1.7 in 2022) and mainly related to the United States and, to a lesser extent, Germany and Poland." Thomas Howie[https://wikirate.org/Thomas_Howie].....2025-08-20 14:18:39 UTC</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https://wikirate.org/~21495999</v>
      </c>
      <c r="H20" s="14" t="str">
        <f ca="1">VLOOKUP($A20&amp;$B$1,'Export 3 Oct'!$B$6:$K$851,10, FALSE)</f>
        <v>p87 "The information summarised in the ESRS Content Index is included in the scope of the limited assurance engagement" also, page 189 in the PDF viewer shows the full EY Limited Assurance Document Thomas Howie[https://wikirate.org/Thomas_Howie].....2025-08-20 14:22:31 UTC</v>
      </c>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https://wikirate.org/~21495999</v>
      </c>
      <c r="H21" s="14" t="str">
        <f ca="1">VLOOKUP($A21&amp;$B$1,'Export 3 Oct'!$B$6:$K$851,10, FALSE)</f>
        <v>p158 "As for supplier audits on HSE issues, every year Leonardo sets out an audit plan and selects the suppliers that will have to be audited in the subsequent year. The audit consists of checks carried out by Leonardo personnel or by a third-party entity and is also an opportunity to inform the supplier of any possible opportunity for improvement. In any case of non-conformity, Leonardo always asks the supplier to take a corrective action, reported by the supplier in an Action Plan, complete with the related date of implementation, which is verified by Leonardo in the subsequent audit." Thomas Howie[https://wikirate.org/Thomas_Howie].....2025-08-20 14:24:25 UTC</v>
      </c>
      <c r="I21" s="12"/>
    </row>
    <row r="26" spans="1:9">
      <c r="A26" s="39" t="s">
        <v>1634</v>
      </c>
    </row>
    <row r="27" spans="1:9">
      <c r="A27" s="38" t="s">
        <v>1630</v>
      </c>
      <c r="B27" s="40">
        <f>AVERAGE($E$5,$E$6,$E$7)</f>
        <v>8</v>
      </c>
    </row>
    <row r="28" spans="1:9">
      <c r="A28" s="38" t="s">
        <v>1631</v>
      </c>
      <c r="B28" s="40">
        <f>AVERAGE($E$8,$E$9)</f>
        <v>0</v>
      </c>
    </row>
    <row r="29" spans="1:9">
      <c r="A29" s="38" t="s">
        <v>1632</v>
      </c>
      <c r="B29" s="40">
        <f>AVERAGE($E$10,$E$11,$E$12,$E$13,$E$14)</f>
        <v>4</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D1C9F-CCCB-144E-8A9A-E093C82008F1}">
  <sheetPr codeName="Sheet35"/>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Lockheed Martin</v>
      </c>
    </row>
    <row r="2" spans="1:9" ht="23">
      <c r="A2" s="8" t="s">
        <v>1616</v>
      </c>
      <c r="B2" s="18">
        <f>SUM(E5:E16)/12</f>
        <v>7.083333333333333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https://wikirate.org/~22246486</v>
      </c>
      <c r="H5" s="14"/>
      <c r="I5" s="12"/>
    </row>
    <row r="6" spans="1:9" ht="112">
      <c r="A6" s="13" t="s">
        <v>242</v>
      </c>
      <c r="B6" s="14" t="s">
        <v>1497</v>
      </c>
      <c r="C6" s="14" t="s">
        <v>1525</v>
      </c>
      <c r="D6" s="14" t="str">
        <f ca="1">VLOOKUP($A6&amp;$B$1,'Export 3 Oct'!$B$6:$K$851,5, FALSE)</f>
        <v>PDF (text based), Web HTML page</v>
      </c>
      <c r="E6" s="12">
        <v>5</v>
      </c>
      <c r="F6" s="12"/>
      <c r="G6" s="12" t="str">
        <f ca="1">VLOOKUP($A6&amp;$B$1,'Export 3 Oct'!$B$6:$K$851,6, FALSE)</f>
        <v>https://wikirate.org/~21495942</v>
      </c>
      <c r="H6" s="14" t="str">
        <f ca="1">VLOOKUP($A6&amp;$B$1,'Export 3 Oct'!$B$6:$K$851,10, FALSE)</f>
        <v>The webpage does not have text but does seem to report a comprehensive overview of GRI and SASB datapoints. Laureen van Breen[https://wikirate.org/Laureen_van_Breen].....2025-09-21 11:22:24 UTC</v>
      </c>
      <c r="I6" s="12"/>
    </row>
    <row r="7" spans="1:9" ht="48">
      <c r="A7" s="13" t="s">
        <v>901</v>
      </c>
      <c r="B7" s="14" t="s">
        <v>1498</v>
      </c>
      <c r="C7" s="14" t="s">
        <v>1517</v>
      </c>
      <c r="D7" s="14" t="str">
        <f ca="1">VLOOKUP($A7&amp;$B$1,'Export 3 Oct'!$B$6:$K$851,5, FALSE)</f>
        <v>No</v>
      </c>
      <c r="E7" s="12">
        <v>0</v>
      </c>
      <c r="F7" s="12"/>
      <c r="G7" s="12" t="str">
        <f ca="1">VLOOKUP($A7&amp;$B$1,'Export 3 Oct'!$B$6:$K$851,6, FALSE)</f>
        <v>https://wikirate.org/~22246486</v>
      </c>
      <c r="H7" s="14" t="str">
        <f ca="1">VLOOKUP($A7&amp;$B$1,'Export 3 Oct'!$B$6:$K$851,10, FALSE)</f>
        <v>I was able to find an archive of annual reports, but these do not include their non-financial disclosures. Laureen van Breen[https://wikirate.org/Laureen_van_Breen].....2025-09-21 11:25:03 UTC</v>
      </c>
      <c r="I7" s="12"/>
    </row>
    <row r="8" spans="1:9" ht="48">
      <c r="A8" s="13" t="s">
        <v>629</v>
      </c>
      <c r="B8" s="14" t="s">
        <v>1499</v>
      </c>
      <c r="C8" s="14" t="s">
        <v>1517</v>
      </c>
      <c r="D8" s="14" t="str">
        <f ca="1">VLOOKUP($A8&amp;$B$1,'Export 3 Oct'!$B$6:$K$851,5, FALSE)</f>
        <v>Yes</v>
      </c>
      <c r="E8" s="12">
        <v>10</v>
      </c>
      <c r="F8" s="12"/>
      <c r="G8" s="12" t="str">
        <f ca="1">VLOOKUP($A8&amp;$B$1,'Export 3 Oct'!$B$6:$K$851,6, FALSE)</f>
        <v>https://wikirate.org/~21495942</v>
      </c>
      <c r="H8" s="14" t="str">
        <f ca="1">VLOOKUP($A8&amp;$B$1,'Export 3 Oct'!$B$6:$K$851,10, FALSE)</f>
        <v>Examples: p. 10 supplier code of conduct p. 49 corporate sustainability policy, 2024 assurance statement, 2022 climate lobbying assessment report Laureen van Breen[https://wikirate.org/Laureen_van_Breen].....2025-09-21 11:30:33 UTC</v>
      </c>
      <c r="I8" s="12"/>
    </row>
    <row r="9" spans="1:9" ht="96">
      <c r="A9" s="13" t="s">
        <v>701</v>
      </c>
      <c r="B9" s="14" t="s">
        <v>1500</v>
      </c>
      <c r="C9" s="14" t="s">
        <v>1518</v>
      </c>
      <c r="D9" s="14" t="str">
        <f ca="1">VLOOKUP($A9&amp;$B$1,'Export 3 Oct'!$B$6:$K$851,5, FALSE)</f>
        <v>Archive with current and historic documents</v>
      </c>
      <c r="E9" s="12">
        <v>10</v>
      </c>
      <c r="F9" s="12"/>
      <c r="G9" s="12" t="str">
        <f ca="1">VLOOKUP($A9&amp;$B$1,'Export 3 Oct'!$B$6:$K$851,6, FALSE)</f>
        <v>https://wikirate.org/~22335734</v>
      </c>
      <c r="H9" s="14" t="str">
        <f ca="1">VLOOKUP($A9&amp;$B$1,'Export 3 Oct'!$B$6:$K$851,10, FALSE)</f>
        <v>Only the Code of Conduct was listed within their website, all other documents were direct links to pdfs Thomas Howie[https://wikirate.org/Thomas_Howie].....2025-08-19 13:14:11 UTC The Disclosure Hub has a comprehensive overview of policies and codes of conduct. While not all of them are archived (in most cases only the latest version is available) for a number of sustainability disclosures, the company provides links to historic copies as well. Laureen van Breen[https://wikirate.org/Laureen_van_Breen].....2025-09-21 11:34:27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https://wikirate.org/~21495942</v>
      </c>
      <c r="H10" s="14"/>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https://wikirate.org/~21495942</v>
      </c>
      <c r="H11" s="14" t="str">
        <f ca="1">VLOOKUP($A11&amp;$B$1,'Export 3 Oct'!$B$6:$K$851,10, FALSE)</f>
        <v>p47 Thomas Howie[https://wikirate.org/Thomas_Howie].....2025-08-19 13:17:07 UTC "Lockheed Martin has reported the information cited in this GRI content index for the period January 1, 2024, through December 31, 2024, with reference to the GRI Standards." Laureen van Breen[https://wikirate.org/Laureen_van_Breen].....2025-09-21 11:37:27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https://wikirate.org/~21495942</v>
      </c>
      <c r="H12" s="14"/>
      <c r="I12" s="12"/>
    </row>
    <row r="13" spans="1:9" ht="208">
      <c r="A13" s="13" t="s">
        <v>1044</v>
      </c>
      <c r="B13" s="14" t="s">
        <v>1504</v>
      </c>
      <c r="C13" s="14" t="s">
        <v>1520</v>
      </c>
      <c r="D13" s="14" t="str">
        <f ca="1">VLOOKUP($A13&amp;$B$1,'Export 3 Oct'!$B$6:$K$851,5, FALSE)</f>
        <v>GRI Standards, SASB, CDP, Greenhouse Gas Protocol, Other</v>
      </c>
      <c r="E13" s="12">
        <v>10</v>
      </c>
      <c r="F13" s="12"/>
      <c r="G13" s="12" t="str">
        <f ca="1">VLOOKUP($A13&amp;$B$1,'Export 3 Oct'!$B$6:$K$851,6, FALSE)</f>
        <v>https://wikirate.org/~21495942</v>
      </c>
      <c r="H13" s="14" t="str">
        <f ca="1">VLOOKUP($A13&amp;$B$1,'Export 3 Oct'!$B$6:$K$851,10, FALSE)</f>
        <v>p2 "This report has been prepared with reference to the Global Reporting Initiative (GRI) Standards. Select GRI and International Sustainability Standards Board (ISSB) indices are available on our Sustainability website. Sustainability Accounting Standards Board (SASB) standards have been incorporated into the International Financial Reporting Standards Foundation (IFRS) Sustainability Disclosure Standards, issued by ISSB." p28 "We report our GHG inventory in accordance with the World Business Council for Sustainable Development (WBCSD) and World Resources Institute (WRI) Greenhouse Gas ‚Äì A Corporate Accounting Standard and Corporate Value Chain (Scope 3) Accounting and Reporting Standard (also referred to as GHG Protocol)." Thomas Howie[https://wikirate.org/Thomas_Howie].....2025-08-20 09:52:29 UTC p13 "Lockheed Martin‚Äôs latest climate risk analysis, assessing physical and transitional risks to our operations and select suppliers, can be found in our Carbon Disclosure Project (CDP) Climate Change report a...</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https://wikirate.org/~21495942</v>
      </c>
      <c r="H14" s="14" t="str">
        <f ca="1">VLOOKUP($A14&amp;$B$1,'Export 3 Oct'!$B$6:$K$851,10, FALSE)</f>
        <v>p29 and onward Thomas Howie[https://wikirate.org/Thomas_Howie].....2025-08-20 09:54:07 UTC</v>
      </c>
      <c r="I14" s="12"/>
    </row>
    <row r="15" spans="1:9" ht="48">
      <c r="A15" s="13" t="s">
        <v>577</v>
      </c>
      <c r="B15" s="14" t="s">
        <v>1506</v>
      </c>
      <c r="C15" s="14" t="s">
        <v>1517</v>
      </c>
      <c r="D15" s="14" t="str">
        <f ca="1">VLOOKUP($A15&amp;$B$1,'Export 3 Oct'!$B$6:$K$851,5, FALSE)</f>
        <v>Yes</v>
      </c>
      <c r="E15" s="12">
        <v>10</v>
      </c>
      <c r="F15" s="12"/>
      <c r="G15" s="12" t="str">
        <f ca="1">VLOOKUP($A15&amp;$B$1,'Export 3 Oct'!$B$6:$K$851,6, FALSE)</f>
        <v>https://wikirate.org/~21495942</v>
      </c>
      <c r="H15" s="14" t="str">
        <f ca="1">VLOOKUP($A15&amp;$B$1,'Export 3 Oct'!$B$6:$K$851,10, FALSE)</f>
        <v>p. 54 seems to indicate that the company has copyrighted the report although it does not really state clearly what the copyright pertains to. Laureen van Breen[https://wikirate.org/Laureen_van_Breen].....2025-09-21 11:48:18 UTC</v>
      </c>
      <c r="I15" s="12"/>
    </row>
    <row r="16" spans="1:9" ht="64">
      <c r="A16" s="13" t="s">
        <v>1143</v>
      </c>
      <c r="B16" s="14" t="s">
        <v>1507</v>
      </c>
      <c r="C16" s="14" t="s">
        <v>1522</v>
      </c>
      <c r="D16" s="14" t="str">
        <f ca="1">VLOOKUP($A16&amp;$B$1,'Export 3 Oct'!$B$6:$K$851,5, FALSE)</f>
        <v>Closed license</v>
      </c>
      <c r="E16" s="12">
        <v>0</v>
      </c>
      <c r="F16" s="12"/>
      <c r="G16" s="12" t="str">
        <f ca="1">VLOOKUP($A16&amp;$B$1,'Export 3 Oct'!$B$6:$K$851,6, FALSE)</f>
        <v>https://wikirate.org/~21495942</v>
      </c>
      <c r="H16" s="14" t="str">
        <f ca="1">VLOOKUP($A16&amp;$B$1,'Export 3 Oct'!$B$6:$K$851,10, FALSE)</f>
        <v>p. 54 seems to indicate the company has copyrighted the report (which would mean any type of reuse would not be allowed). It is however not very clear what the copyright pertains to (whole report, the data in the report, or for instance just the logo displayed on that page). Laureen van Breen[https://wikirate.org/Laureen_van_Breen].....2025-09-21 11:50:06 UTC</v>
      </c>
      <c r="I16" s="12"/>
    </row>
    <row r="17" spans="1:9">
      <c r="A17" s="15" t="s">
        <v>1512</v>
      </c>
      <c r="B17" s="16"/>
      <c r="C17" s="17"/>
      <c r="D17" s="16"/>
      <c r="E17" s="17"/>
      <c r="F17" s="17"/>
      <c r="G17" s="17"/>
      <c r="H17" s="16"/>
      <c r="I17" s="12"/>
    </row>
    <row r="18" spans="1:9" ht="64">
      <c r="A18" s="13" t="s">
        <v>1195</v>
      </c>
      <c r="B18" s="14" t="s">
        <v>1508</v>
      </c>
      <c r="C18" s="12" t="s">
        <v>1523</v>
      </c>
      <c r="D18" s="14" t="str">
        <f ca="1">VLOOKUP($A18&amp;$B$1,'Export 3 Oct'!$B$6:$K$851,5, FALSE)</f>
        <v>Yes</v>
      </c>
      <c r="E18" s="12" t="s">
        <v>1515</v>
      </c>
      <c r="F18" s="12"/>
      <c r="G18" s="12" t="str">
        <f ca="1">VLOOKUP($A18&amp;$B$1,'Export 3 Oct'!$B$6:$K$851,6, FALSE)</f>
        <v>https://wikirate.org/~21495942</v>
      </c>
      <c r="H18" s="14" t="str">
        <f ca="1">VLOOKUP($A18&amp;$B$1,'Export 3 Oct'!$B$6:$K$851,10, FALSE)</f>
        <v>p7 "In 2024, we conducted a complete double materiality assessment that will become the foundation of our next formal five-year SMP and associated goals and enable our preparations for emerging sustainability reporting requirements." Thomas Howie[https://wikirate.org/Thomas_Howie].....2025-08-20 09:57:23 UTC</v>
      </c>
      <c r="I18" s="12"/>
    </row>
    <row r="19" spans="1:9" ht="48">
      <c r="A19" s="13" t="s">
        <v>1280</v>
      </c>
      <c r="B19" s="14" t="s">
        <v>1509</v>
      </c>
      <c r="C19" s="12" t="s">
        <v>1523</v>
      </c>
      <c r="D19" s="14" t="str">
        <f ca="1">VLOOKUP($A19&amp;$B$1,'Export 3 Oct'!$B$6:$K$851,5, FALSE)</f>
        <v>No</v>
      </c>
      <c r="E19" s="12" t="s">
        <v>1515</v>
      </c>
      <c r="F19" s="12"/>
      <c r="G19" s="12" t="str">
        <f ca="1">VLOOKUP($A19&amp;$B$1,'Export 3 Oct'!$B$6:$K$851,6, FALSE)</f>
        <v>https://wikirate.org/~21495942</v>
      </c>
      <c r="H19" s="14" t="str">
        <f ca="1">VLOOKUP($A19&amp;$B$1,'Export 3 Oct'!$B$6:$K$851,10, FALSE)</f>
        <v>p. 28 does include a lobbying reference and points to where on the website more information can be found. But no total budget is disclosed. Laureen van Breen[https://wikirate.org/Laureen_van_Breen].....2025-09-21 12:04:56 UTC</v>
      </c>
      <c r="I19" s="12"/>
    </row>
    <row r="20" spans="1:9" ht="80">
      <c r="A20" s="13" t="s">
        <v>814</v>
      </c>
      <c r="B20" s="14" t="s">
        <v>1510</v>
      </c>
      <c r="C20" s="14" t="s">
        <v>1524</v>
      </c>
      <c r="D20" s="14" t="str">
        <f ca="1">VLOOKUP($A20&amp;$B$1,'Export 3 Oct'!$B$6:$K$851,5, FALSE)</f>
        <v>Limited assurance</v>
      </c>
      <c r="E20" s="12" t="s">
        <v>1515</v>
      </c>
      <c r="F20" s="12"/>
      <c r="G20" s="12" t="str">
        <f ca="1">VLOOKUP($A20&amp;$B$1,'Export 3 Oct'!$B$6:$K$851,6, FALSE)</f>
        <v>https://wikirate.org/~21495942</v>
      </c>
      <c r="H20" s="14" t="str">
        <f ca="1">VLOOKUP($A20&amp;$B$1,'Export 3 Oct'!$B$6:$K$851,10, FALSE)</f>
        <v>p2 "DNV, an independent, third-party assurance provider, supplied a moderate level of assurance for this report under the AA1000 Assurance Standard (AA1000AS). This includes performance on the Lockheed Martin 2025 SMP goals and relevant ISSB and GRI indicators. Verification details can be found in the 2024 Assurance Statement, which is available on our Disclosure Hub" Thomas Howie[https://wikirate.org/Thomas_Howie].....2025-08-20 10:05:10 UTC</v>
      </c>
      <c r="I20" s="12"/>
    </row>
    <row r="21" spans="1:9" ht="32">
      <c r="A21" s="13" t="s">
        <v>13</v>
      </c>
      <c r="B21" s="14" t="s">
        <v>1511</v>
      </c>
      <c r="C21" s="12" t="s">
        <v>1523</v>
      </c>
      <c r="D21" s="14" t="str">
        <f ca="1">VLOOKUP($A21&amp;$B$1,'Export 3 Oct'!$B$6:$K$851,5, FALSE)</f>
        <v>No</v>
      </c>
      <c r="E21" s="12" t="s">
        <v>1515</v>
      </c>
      <c r="F21" s="12"/>
      <c r="G21" s="12" t="str">
        <f ca="1">VLOOKUP($A21&amp;$B$1,'Export 3 Oct'!$B$6:$K$851,6, FALSE)</f>
        <v>https://wikirate.org/~21495942</v>
      </c>
      <c r="H21" s="14" t="str">
        <f ca="1">VLOOKUP($A21&amp;$B$1,'Export 3 Oct'!$B$6:$K$851,10, FALSE)</f>
        <v>They talk about achieving a "supplier sustainability assessment" by 2025 but don't explain what it means Thomas Howie[https://wikirate.org/Thomas_Howie].....2025-08-20 10:08:26 UTC</v>
      </c>
      <c r="I21" s="12"/>
    </row>
    <row r="26" spans="1:9">
      <c r="A26" s="39" t="s">
        <v>1634</v>
      </c>
    </row>
    <row r="27" spans="1:9">
      <c r="A27" s="38" t="s">
        <v>1630</v>
      </c>
      <c r="B27" s="40">
        <f>AVERAGE($E$5,$E$6,$E$7)</f>
        <v>5</v>
      </c>
    </row>
    <row r="28" spans="1:9">
      <c r="A28" s="38" t="s">
        <v>1631</v>
      </c>
      <c r="B28" s="40">
        <f>AVERAGE($E$8,$E$9)</f>
        <v>10</v>
      </c>
    </row>
    <row r="29" spans="1:9">
      <c r="A29" s="38" t="s">
        <v>1632</v>
      </c>
      <c r="B29" s="40">
        <f>AVERAGE($E$10,$E$11,$E$12,$E$13,$E$14)</f>
        <v>8</v>
      </c>
    </row>
    <row r="30" spans="1:9">
      <c r="A30" s="38" t="s">
        <v>1633</v>
      </c>
      <c r="B30" s="40">
        <f>AVERAGE($E$15,$E$16)</f>
        <v>5</v>
      </c>
    </row>
  </sheetData>
  <pageMargins left="0.7" right="0.7" top="0.75" bottom="0.75" header="0.3" footer="0.3"/>
  <pageSetup paperSize="9" orientation="portrait" horizontalDpi="0" verticalDpi="0"/>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9118-F972-1744-9E65-D75A1B894C7E}">
  <sheetPr codeName="Sheet36"/>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Mahle GmbH</v>
      </c>
    </row>
    <row r="2" spans="1:9" ht="23">
      <c r="A2" s="8" t="s">
        <v>1616</v>
      </c>
      <c r="B2" s="18">
        <f>SUM(E5:E16)/12</f>
        <v>4.916666666666667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https://wikirate.org/~22208642</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https://wikirate.org/~21496672</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https://wikirate.org/~22208642</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https://wikirate.org/~21496672</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https://wikirate.org/~22208675</v>
      </c>
      <c r="H9" s="14" t="str">
        <f ca="1">VLOOKUP($A9&amp;$B$1,'Export 3 Oct'!$B$6:$K$851,10, FALSE)</f>
        <v>It is not entirely clear to me if these are all the policies and codes of conduct that they have, but it seems to be the main ones they refer to in their sustainability report. Laureen van Breen[https://wikirate.org/Laureen_van_Breen].....2025-08-11 08:06:52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https://wikirate.org/~21496672</v>
      </c>
      <c r="H10" s="14"/>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https://wikirate.org/~21496672</v>
      </c>
      <c r="H11" s="14" t="str">
        <f ca="1">VLOOKUP($A11&amp;$B$1,'Export 3 Oct'!$B$6:$K$851,10, FALSE)</f>
        <v>"We have performed a limited assurance engagement on the 2024 Sustainability Report of MAHLE GmbH, Stuttgart (hereinafter ‚Äúthe Company‚Äù), for the period from 1 January to 31 December 2024 (hereinafter the ‚ÄúReport‚Äù)." p. 60 Laureen van Breen[https://wikirate.org/Laureen_van_Breen].....2025-08-11 08:10:46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https://wikirate.org/~21496672</v>
      </c>
      <c r="H12" s="14"/>
      <c r="I12" s="12"/>
    </row>
    <row r="13" spans="1:9" ht="208">
      <c r="A13" s="13" t="s">
        <v>1044</v>
      </c>
      <c r="B13" s="14" t="s">
        <v>1504</v>
      </c>
      <c r="C13" s="14" t="s">
        <v>1520</v>
      </c>
      <c r="D13" s="14" t="str">
        <f ca="1">VLOOKUP($A13&amp;$B$1,'Export 3 Oct'!$B$6:$K$851,5, FALSE)</f>
        <v>GRI Standards, CDP</v>
      </c>
      <c r="E13" s="12">
        <v>10</v>
      </c>
      <c r="F13" s="12"/>
      <c r="G13" s="12" t="str">
        <f ca="1">VLOOKUP($A13&amp;$B$1,'Export 3 Oct'!$B$6:$K$851,6, FALSE)</f>
        <v>https://wikirate.org/~21496672</v>
      </c>
      <c r="H13" s="14" t="str">
        <f ca="1">VLOOKUP($A13&amp;$B$1,'Export 3 Oct'!$B$6:$K$851,10, FALSE)</f>
        <v>"This 2024 MAHLE Sustainability Report outlines our goals, strategies, and progress in key areas. It was created in accordance with Global Reporting Initiative Standards." (p. 5) ESRS coming soon... "In parallel, MAHLE is taking action to prepare for the new European Sustainability Reporting Standards under the Corporate Sustainability Reporting Directive (CSRD). In line with the concept of double materiality, MAHLE has evaluated the company‚Äôs impact on the environment and society, and the financial opportunities and risks associated with these sustainability aspects. The objective of this activity is to prepare for comprehensive reporting on the company‚Äôs sustainability initiatives and to meet the requirements of the CSRD as of 2025." (p. 14) "The Carbon Disclosure Project (CDP) is a reporting platform focused on climate protection. MAHLE uses CDP to report on its climate change and water stewardship efforts. In 2024, MAHLE received an A rating for climate change and an A‚Äì rating for water stewardship, th...</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https://wikirate.org/~21496672</v>
      </c>
      <c r="H14" s="14" t="str">
        <f ca="1">VLOOKUP($A14&amp;$B$1,'Export 3 Oct'!$B$6:$K$851,10, FALSE)</f>
        <v>GRI index: p. 63-70 Laureen van Breen[https://wikirate.org/Laureen_van_Breen].....2025-08-11 08:19:09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https://wikirate.org/~21496672</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https://wikirate.org/~21496672</v>
      </c>
      <c r="H16" s="14"/>
      <c r="I16" s="12"/>
    </row>
    <row r="17" spans="1:9">
      <c r="A17" s="15" t="s">
        <v>1512</v>
      </c>
      <c r="B17" s="16"/>
      <c r="C17" s="17"/>
      <c r="D17" s="16"/>
      <c r="E17" s="17"/>
      <c r="F17" s="17"/>
      <c r="G17" s="17"/>
      <c r="H17" s="16"/>
      <c r="I17" s="12"/>
    </row>
    <row r="18" spans="1:9" ht="176">
      <c r="A18" s="13" t="s">
        <v>1195</v>
      </c>
      <c r="B18" s="14" t="s">
        <v>1508</v>
      </c>
      <c r="C18" s="12" t="s">
        <v>1523</v>
      </c>
      <c r="D18" s="14" t="str">
        <f ca="1">VLOOKUP($A18&amp;$B$1,'Export 3 Oct'!$B$6:$K$851,5, FALSE)</f>
        <v>No</v>
      </c>
      <c r="E18" s="12" t="s">
        <v>1515</v>
      </c>
      <c r="F18" s="12"/>
      <c r="G18" s="12" t="str">
        <f ca="1">VLOOKUP($A18&amp;$B$1,'Export 3 Oct'!$B$6:$K$851,6, FALSE)</f>
        <v>https://wikirate.org/~21496672</v>
      </c>
      <c r="H18" s="14" t="str">
        <f ca="1">VLOOKUP($A18&amp;$B$1,'Export 3 Oct'!$B$6:$K$851,10, FALSE)</f>
        <v>"Our materiality matrix has been developed in accordance with the guidelines provided by the Global Reporting Initiative (GRI) 2021. The materiality assessment of the previous year was reviewed in 2024, taking into account the perspectives of our stakeholders and operations globally. The results of the 2023 assessment were confirmed without changing the importance of the selected topics. According to the materiality analysis, the topics of waste and water are not considered material, however, we still report them in accordance with GRI." (p. 13) "In parallel, MAHLE is taking action to prepare for the new European Sustainability Reporting Standards under the Corporate Sustainability Reporting Directive (CSRD). In line with the concept of double materiality, MAHLE has evaluated the company‚Äôs impact on the environment and society, and the financial opportunities and risks associated with these sustainability aspects. The objective of this activity is to prepare for comprehensive reporting on the company‚Äôs sus...</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https://wikirate.org/~21496672</v>
      </c>
      <c r="H19" s="14" t="str">
        <f ca="1">VLOOKUP($A19&amp;$B$1,'Export 3 Oct'!$B$6:$K$851,10, FALSE)</f>
        <v>p. 16-17 Laureen van Breen[https://wikirate.org/Laureen_van_Breen].....2025-08-11 08:26:21 UTC</v>
      </c>
      <c r="I19" s="12"/>
    </row>
    <row r="20" spans="1:9" ht="64">
      <c r="A20" s="13" t="s">
        <v>814</v>
      </c>
      <c r="B20" s="14" t="s">
        <v>1510</v>
      </c>
      <c r="C20" s="14" t="s">
        <v>1524</v>
      </c>
      <c r="D20" s="14" t="str">
        <f ca="1">VLOOKUP($A20&amp;$B$1,'Export 3 Oct'!$B$6:$K$851,5, FALSE)</f>
        <v>Limited assurance</v>
      </c>
      <c r="E20" s="12" t="s">
        <v>1515</v>
      </c>
      <c r="F20" s="12"/>
      <c r="G20" s="12" t="str">
        <f ca="1">VLOOKUP($A20&amp;$B$1,'Export 3 Oct'!$B$6:$K$851,6, FALSE)</f>
        <v>https://wikirate.org/~21496672</v>
      </c>
      <c r="H20" s="14" t="str">
        <f ca="1">VLOOKUP($A20&amp;$B$1,'Export 3 Oct'!$B$6:$K$851,10, FALSE)</f>
        <v>"We have performed a limited assurance engagement on the 2024 Sustainability Report of MAHLE GmbH, Stuttgart (hereinafter ‚Äúthe Company‚Äù), for the period from 1 January to 31 December 2024 (hereinafter the ‚ÄúReport‚Äù)." (p. 60) Laureen van Breen[https://wikirate.org/Laureen_van_Breen].....2025-08-11 08:27:31 UTC</v>
      </c>
      <c r="I20" s="12"/>
    </row>
    <row r="21" spans="1:9" ht="144">
      <c r="A21" s="13" t="s">
        <v>13</v>
      </c>
      <c r="B21" s="14" t="s">
        <v>1511</v>
      </c>
      <c r="C21" s="12" t="s">
        <v>1523</v>
      </c>
      <c r="D21" s="14" t="str">
        <f ca="1">VLOOKUP($A21&amp;$B$1,'Export 3 Oct'!$B$6:$K$851,5, FALSE)</f>
        <v>Yes</v>
      </c>
      <c r="E21" s="12" t="s">
        <v>1515</v>
      </c>
      <c r="F21" s="12"/>
      <c r="G21" s="12" t="str">
        <f ca="1">VLOOKUP($A21&amp;$B$1,'Export 3 Oct'!$B$6:$K$851,6, FALSE)</f>
        <v>https://wikirate.org/~21496672</v>
      </c>
      <c r="H21" s="14" t="str">
        <f ca="1">VLOOKUP($A21&amp;$B$1,'Export 3 Oct'!$B$6:$K$851,10, FALSE)</f>
        <v>p. 44 "Supplier registration, assessment, and approval Regulatory requirements, such as those in the German Supply Chain Act, highlight the importance of due diligence in identifying sustainability risks at an early stage. We rely on state-of-the-art technology to track and monitor compliance with human rights, labor practices, and environmental issues. When selecting suppliers, we consider their compliance with certified quality and environmental management standards, which are assessed as part of the initial audits. A successful initial audit is required for inclusion in our supplier panel. We have also introduced standardized supplier scorecards in our common Supplier Portal to facilitate the self-assessment of suppliers." Laureen van Breen[https://wikirate.org/Laureen_van_Breen].....2025-08-11 09:16:32 UTC</v>
      </c>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EE495-01E1-8C49-A2ED-4B2138CDFAB7}">
  <sheetPr codeName="Sheet3"/>
  <dimension ref="A1:A17"/>
  <sheetViews>
    <sheetView workbookViewId="0">
      <selection activeCell="A2" sqref="A2:A17"/>
    </sheetView>
  </sheetViews>
  <sheetFormatPr baseColWidth="10" defaultRowHeight="16"/>
  <sheetData>
    <row r="1" spans="1:1">
      <c r="A1" t="s">
        <v>1495</v>
      </c>
    </row>
    <row r="2" spans="1:1">
      <c r="A2" s="1" t="s">
        <v>13</v>
      </c>
    </row>
    <row r="3" spans="1:1">
      <c r="A3" s="1" t="s">
        <v>91</v>
      </c>
    </row>
    <row r="4" spans="1:1">
      <c r="A4" s="1" t="s">
        <v>242</v>
      </c>
    </row>
    <row r="5" spans="1:1">
      <c r="A5" s="1" t="s">
        <v>328</v>
      </c>
    </row>
    <row r="6" spans="1:1">
      <c r="A6" s="1" t="s">
        <v>412</v>
      </c>
    </row>
    <row r="7" spans="1:1">
      <c r="A7" s="1" t="s">
        <v>495</v>
      </c>
    </row>
    <row r="8" spans="1:1">
      <c r="A8" s="1" t="s">
        <v>577</v>
      </c>
    </row>
    <row r="9" spans="1:1">
      <c r="A9" s="1" t="s">
        <v>629</v>
      </c>
    </row>
    <row r="10" spans="1:1">
      <c r="A10" s="1" t="s">
        <v>701</v>
      </c>
    </row>
    <row r="11" spans="1:1">
      <c r="A11" s="1" t="s">
        <v>814</v>
      </c>
    </row>
    <row r="12" spans="1:1">
      <c r="A12" s="1" t="s">
        <v>901</v>
      </c>
    </row>
    <row r="13" spans="1:1">
      <c r="A13" s="1" t="s">
        <v>987</v>
      </c>
    </row>
    <row r="14" spans="1:1">
      <c r="A14" s="1" t="s">
        <v>1044</v>
      </c>
    </row>
    <row r="15" spans="1:1">
      <c r="A15" s="1" t="s">
        <v>1143</v>
      </c>
    </row>
    <row r="16" spans="1:1">
      <c r="A16" s="1" t="s">
        <v>1195</v>
      </c>
    </row>
    <row r="17" spans="1:1">
      <c r="A17" s="1" t="s">
        <v>1280</v>
      </c>
    </row>
  </sheetData>
  <pageMargins left="0.7" right="0.7" top="0.75" bottom="0.75" header="0.3" footer="0.3"/>
  <pageSetup paperSize="9" orientation="portrait" horizontalDpi="0" verticalDpi="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F601-D541-B84A-B82F-EA6B9CB31085}">
  <sheetPr codeName="Sheet37"/>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Mercedes-Benz AG</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https://wikirate.org/~22197857</v>
      </c>
      <c r="H5" s="14" t="str">
        <f ca="1">VLOOKUP($A5&amp;$B$1,'Export 3 Oct'!$B$6:$K$851,10, FALSE)</f>
        <v>Also found entries in a couple databases Laureen van Breen[https://wikirate.org/Laureen_van_Breen].....2025-09-01 13:14:46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https://wikirate.org/~21476060</v>
      </c>
      <c r="H6" s="14"/>
      <c r="I6" s="12"/>
    </row>
    <row r="7" spans="1:9" ht="48">
      <c r="A7" s="13" t="s">
        <v>901</v>
      </c>
      <c r="B7" s="14" t="s">
        <v>1498</v>
      </c>
      <c r="C7" s="14" t="s">
        <v>1517</v>
      </c>
      <c r="D7" s="14" t="str">
        <f ca="1">VLOOKUP($A7&amp;$B$1,'Export 3 Oct'!$B$6:$K$851,5, FALSE)</f>
        <v>Yes</v>
      </c>
      <c r="E7" s="12">
        <v>10</v>
      </c>
      <c r="F7" s="12"/>
      <c r="G7" s="12" t="str">
        <f ca="1">VLOOKUP($A7&amp;$B$1,'Export 3 Oct'!$B$6:$K$851,6, FALSE)</f>
        <v>https://wikirate.org/~22197857</v>
      </c>
      <c r="H7" s="14" t="str">
        <f ca="1">VLOOKUP($A7&amp;$B$1,'Export 3 Oct'!$B$6:$K$851,10, FALSE)</f>
        <v>p. 3 of screenshot Lucia Ixtacuy[https://wikirate.org/Lucia_Ixtacuy].....2025-08-05 15:27:57 UTC Added the actual archive page as a Source as well now Laureen van Breen[https://wikirate.org/Laureen_van_Breen].....2025-09-01 13:19:36 UTC</v>
      </c>
      <c r="I7" s="12"/>
    </row>
    <row r="8" spans="1:9" ht="176">
      <c r="A8" s="13" t="s">
        <v>629</v>
      </c>
      <c r="B8" s="14" t="s">
        <v>1499</v>
      </c>
      <c r="C8" s="14" t="s">
        <v>1517</v>
      </c>
      <c r="D8" s="14" t="str">
        <f ca="1">VLOOKUP($A8&amp;$B$1,'Export 3 Oct'!$B$6:$K$851,5, FALSE)</f>
        <v>No</v>
      </c>
      <c r="E8" s="12">
        <v>0</v>
      </c>
      <c r="F8" s="12"/>
      <c r="G8" s="12" t="str">
        <f ca="1">VLOOKUP($A8&amp;$B$1,'Export 3 Oct'!$B$6:$K$851,6, FALSE)</f>
        <v>https://wikirate.org/~21476060</v>
      </c>
      <c r="H8" s="14" t="str">
        <f ca="1">VLOOKUP($A8&amp;$B$1,'Export 3 Oct'!$B$6:$K$851,10, FALSE)</f>
        <v>Some links are available, but not all. Mostly information on corporate governance: Links available: Code of Conduct, as https://group.mercedes-benz.com/documents/company/compliance/mercedes-benz-group-ag-integrity-code.pdf https://wikirate.org/mod/pdfjs/web/viewer.html?file=https://wikirate-production-storage.fra1.cdn.digitaloceanspaces.com/files/21495935/51135873.pdf#%5B%7B%22num%22%3A962%2C%22gen%22%3A0%7D%2C%7B%22name%22%3A%22XYZ%22%7D%2Cnull%2C428%2Cnull%5D Lucia Ixtacuy[https://wikirate.org/Lucia_Ixtacuy].....2025-08-05 12:06:32 UTC p. 261 is an example of where links to referenced documents can be found. These links however do not DIRECTLY link to these documents but go to landing pages where another link to the actual document can be found. Laureen van Breen[https://wikirate.org/Laureen_van_Breen].....2025-09-01 13:23:28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https://wikirate.org/~22252493</v>
      </c>
      <c r="H9" s="14" t="str">
        <f ca="1">VLOOKUP($A9&amp;$B$1,'Export 3 Oct'!$B$6:$K$851,10, FALSE)</f>
        <v>It is not entirely clear to me that this includes all policies they might have, but I did find links to 3 key non-financial policies / codes of conduct on this page which makes me think this is the overview page. Laureen van Breen[https://wikirate.org/Laureen_van_Breen].....2025-09-01 13:28:14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https://wikirate.org/~21476060</v>
      </c>
      <c r="H10" s="14" t="str">
        <f ca="1">VLOOKUP($A10&amp;$B$1,'Export 3 Oct'!$B$6:$K$851,10, FALSE)</f>
        <v>"The company is entered in the Commercial Register of the Stuttgart District Court under No. HRB 19360 and its registered office is located at Mercedesstra√üe 120, 70372 Stuttgart, Germany." p.297 Laureen van Breen[https://wikirate.org/Laureen_van_Breen].....2025-09-01 13:31:19 UTC</v>
      </c>
      <c r="I10" s="12"/>
    </row>
    <row r="11" spans="1:9" ht="112">
      <c r="A11" s="13" t="s">
        <v>412</v>
      </c>
      <c r="B11" s="14" t="s">
        <v>1502</v>
      </c>
      <c r="C11" s="14" t="s">
        <v>1517</v>
      </c>
      <c r="D11" s="14" t="str">
        <f ca="1">VLOOKUP($A11&amp;$B$1,'Export 3 Oct'!$B$6:$K$851,5, FALSE)</f>
        <v>Yes</v>
      </c>
      <c r="E11" s="12">
        <v>10</v>
      </c>
      <c r="F11" s="12"/>
      <c r="G11" s="12" t="str">
        <f ca="1">VLOOKUP($A11&amp;$B$1,'Export 3 Oct'!$B$6:$K$851,6, FALSE)</f>
        <v>https://wikirate.org/~21476060</v>
      </c>
      <c r="H11" s="14" t="str">
        <f ca="1">VLOOKUP($A11&amp;$B$1,'Export 3 Oct'!$B$6:$K$851,10, FALSE)</f>
        <v>Es gibt keine gesonderte "Reporting page", sondern die Stand "31. Dezember 2024" erscheint fortlaufend im Bericht. Jossa Charlotte Sippel[https://wikirate.org/Jossa_Charlotte_Sippel].....2025-06-09 10:33:22 UTC "Revenue related to performance obligations that were unsatisfied (or partially unsatisfied) by the end of the reporting period that is expected to be recognized within three years amounted to ‚Ç¨7,327 million at 31 December 2024 (2023: ‚Ç¨6,663 million). " p. 329 This statement clearly shows the reporting period is FY 2024 and it run along the calendar year. Laureen van Breen[https://wikirate.org/Laureen_van_Breen].....2025-09-01 13:35:30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https://wikirate.org/~21476060</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https://wikirate.org/~21476060</v>
      </c>
      <c r="H13" s="14" t="str">
        <f ca="1">VLOOKUP($A13&amp;$B$1,'Export 3 Oct'!$B$6:$K$851,10, FALSE)</f>
        <v>"The Mercedes-Benz Group calculates and documents its greenhouse gas emissions in Scope 1 to Scope 3 in accordance with the Corporate Accounting and Reporting Standard 2004 and the Corporate Value Chain Standard 2011 of the Greenhouse Gas (GHG) Protocol initiative." p. 149 "The Mercedes-Benz Group plans to take the changes that arise in the regular cycle of the materiality assessment according to CSRD and ESRS into account in future updates of its strategic focus areas of sustainability" p. 127 "The Responsible Sourcing Standards (RSS) are the central contractual document for sustainability requirements for suppliers and represent the guard rails of supply chain management. They contain minimum requirements in the areas of environmental due diligence, climate change mitigation, resource conservation, biodiversity, deforestation and water, among others. In line with the German Supply Chain Due Diligence Act (LkSG), the Mercedes-Benz Group sets out clear sustainability requirements and more far-reaching expe...</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https://wikirate.org/~21476060</v>
      </c>
      <c r="H14" s="14" t="str">
        <f ca="1">VLOOKUP($A14&amp;$B$1,'Export 3 Oct'!$B$6:$K$851,10, FALSE)</f>
        <v>p. 245 Lucia Ixtacuy[https://wikirate.org/Lucia_Ixtacuy].....2025-08-05 12:36:37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https://wikirate.org/~21476060</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https://wikirate.org/~21476060</v>
      </c>
      <c r="H16" s="14"/>
      <c r="I16" s="12"/>
    </row>
    <row r="17" spans="1:9">
      <c r="A17" s="15" t="s">
        <v>1512</v>
      </c>
      <c r="B17" s="16"/>
      <c r="C17" s="17"/>
      <c r="D17" s="16"/>
      <c r="E17" s="17"/>
      <c r="F17" s="17"/>
      <c r="G17" s="17"/>
      <c r="H17" s="16"/>
      <c r="I17" s="12"/>
    </row>
    <row r="18" spans="1:9" ht="96">
      <c r="A18" s="13" t="s">
        <v>1195</v>
      </c>
      <c r="B18" s="14" t="s">
        <v>1508</v>
      </c>
      <c r="C18" s="12" t="s">
        <v>1523</v>
      </c>
      <c r="D18" s="14" t="str">
        <f ca="1">VLOOKUP($A18&amp;$B$1,'Export 3 Oct'!$B$6:$K$851,5, FALSE)</f>
        <v>Yes</v>
      </c>
      <c r="E18" s="12" t="s">
        <v>1515</v>
      </c>
      <c r="F18" s="12"/>
      <c r="G18" s="12" t="str">
        <f ca="1">VLOOKUP($A18&amp;$B$1,'Export 3 Oct'!$B$6:$K$851,6, FALSE)</f>
        <v>https://wikirate.org/~21476060</v>
      </c>
      <c r="H18" s="14" t="str">
        <f ca="1">VLOOKUP($A18&amp;$B$1,'Export 3 Oct'!$B$6:$K$851,10, FALSE)</f>
        <v>p. 112 "Based on the scope of the double materiality assessment, further information on this can be found under Identification of material impacts, risks and opportunities in this chapter, the Mercedes-Benz Group‚Äôs Sustainability Statement covers the entire value chain. In the reporting, this is summarized in three stages, analogous to the materiality assessment: upstream value chain, own business activities and downstream value chain of the Mercedes-Benz Group. " p. 121 Lucia Ixtacuy[https://wikirate.org/Lucia_Ixtacuy].....2025-08-05 12:42:12 UTC</v>
      </c>
      <c r="I18" s="12"/>
    </row>
    <row r="19" spans="1:9" ht="176">
      <c r="A19" s="13" t="s">
        <v>1280</v>
      </c>
      <c r="B19" s="14" t="s">
        <v>1509</v>
      </c>
      <c r="C19" s="12" t="s">
        <v>1523</v>
      </c>
      <c r="D19" s="14" t="str">
        <f ca="1">VLOOKUP($A19&amp;$B$1,'Export 3 Oct'!$B$6:$K$851,5, FALSE)</f>
        <v>Yes</v>
      </c>
      <c r="E19" s="12" t="s">
        <v>1515</v>
      </c>
      <c r="F19" s="12"/>
      <c r="G19" s="12" t="str">
        <f ca="1">VLOOKUP($A19&amp;$B$1,'Export 3 Oct'!$B$6:$K$851,6, FALSE)</f>
        <v>https://wikirate.org/~21476060</v>
      </c>
      <c r="H19" s="14" t="str">
        <f ca="1">VLOOKUP($A19&amp;$B$1,'Export 3 Oct'!$B$6:$K$851,10, FALSE)</f>
        <v>"Donations and sponsorships through which political influence is possible" - under the section about lobbying. Since the company doesn't report direct political contribution, we assume that those expenses would fit under the category of "lobbying". Donations: 1,275,188 Sponsorships: 700,473 = 1,975,661 p.245 The Mercedes-Benz Group made no monetary or non-monetary contributions to political parties during the reporting period. This decision was made independently of current political or economic events. Donations and sponsorships through which political influence is possible are listed in the following table. Donations in kind were monetized; they are included in the amounts shown for donations and sponsorships" Aureliane.....2025-08-01 13:58:18 UTC Lucia Ixtacuy[https://wikirate.org/Lucia_Ixtacuy].....2025-08-05 11:55:31 UTC "The relevant information on the political representation of interests of the Mercedes-Benz Group is entered in the EU Transparency Register (registration number: 2349218828-41), in t...</v>
      </c>
      <c r="I19" s="12"/>
    </row>
    <row r="20" spans="1:9" ht="128">
      <c r="A20" s="13" t="s">
        <v>814</v>
      </c>
      <c r="B20" s="14" t="s">
        <v>1510</v>
      </c>
      <c r="C20" s="14" t="s">
        <v>1524</v>
      </c>
      <c r="D20" s="14" t="str">
        <f ca="1">VLOOKUP($A20&amp;$B$1,'Export 3 Oct'!$B$6:$K$851,5, FALSE)</f>
        <v>Limited assurance</v>
      </c>
      <c r="E20" s="12" t="s">
        <v>1515</v>
      </c>
      <c r="F20" s="12"/>
      <c r="G20" s="12" t="str">
        <f ca="1">VLOOKUP($A20&amp;$B$1,'Export 3 Oct'!$B$6:$K$851,6, FALSE)</f>
        <v>https://wikirate.org/~21476060</v>
      </c>
      <c r="H20" s="14" t="str">
        <f ca="1">VLOOKUP($A20&amp;$B$1,'Export 3 Oct'!$B$6:$K$851,10, FALSE)</f>
        <v>"We have conducted a limited assurance engagement on the group sustainability statement of Mercedes- Benz Group AG, Stuttgart, (hereinafter the ‚ÄúCompany‚Äù) taking into account, as set forth in the subsequent paragraph, the reasonable assurance engagement on the disclosures marked with * in the group sustainability statement included in section ‚ÄúSustainability Statement‚Äù of the group management report, which is combined with the Company‚Äôs management report, for the financial year from 1 January to 31 December 2024 (hereinafter the ‚ÄúGroup Sustainability Statement‚Äù). " p.444 Lucia Ixtacuy[https://wikirate.org/Lucia_Ixtacuy].....2025-08-05 12:44:27 UTC</v>
      </c>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https://wikirate.org/~21476060</v>
      </c>
      <c r="H21" s="14" t="str">
        <f ca="1">VLOOKUP($A21&amp;$B$1,'Export 3 Oct'!$B$6:$K$851,10, FALSE)</f>
        <v>p. 217 "In addition, the Mercedes-Benz Group continued its risk-based audits of direct and indirect suppliers in the year 2024. If on-site visits reveal deficiencies at a supplier, the Mercedes-Benz Group asks the supplier to improve the relevant processes. If the supplier does not improve the respective processes adequately, the Group decides on further steps on an individual basis. In particularly serious cases, management committees are also involved. In the last analysis, this can lead to the Mercedes-Benz Group severing its relationship with a supplier." Lucia Ixtacuy[https://wikirate.org/Lucia_Ixtacuy].....2025-08-05 15:18:46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9</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C8D58-4627-1B41-9795-0221C66C5016}">
  <sheetPr codeName="Sheet38"/>
  <dimension ref="A1:I30"/>
  <sheetViews>
    <sheetView workbookViewId="0">
      <selection activeCell="F9" sqref="F9"/>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Merck KGaA</v>
      </c>
    </row>
    <row r="2" spans="1:9" ht="23">
      <c r="A2" s="8" t="s">
        <v>1616</v>
      </c>
      <c r="B2" s="18">
        <f>SUM(E5:E16)/12</f>
        <v>6.25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https://wikirate.org/~22246712</v>
      </c>
      <c r="H5" s="14" t="str">
        <f ca="1">VLOOKUP($A5&amp;$B$1,'Export 3 Oct'!$B$6:$K$851,10, FALSE)</f>
        <v>Found an entry in the Annual Reports database, but this was for a different (I believe USA) entity of Merck: https://www.annualreports.com/Company/merck-co-inc Laureen van Breen[https://wikirate.org/Laureen_van_Breen].....2025-08-20 06:49:36 UTC</v>
      </c>
      <c r="I5" s="12"/>
    </row>
    <row r="6" spans="1:9" ht="112">
      <c r="A6" s="13" t="s">
        <v>242</v>
      </c>
      <c r="B6" s="14" t="s">
        <v>1497</v>
      </c>
      <c r="C6" s="14" t="s">
        <v>1525</v>
      </c>
      <c r="D6" s="14" t="str">
        <f ca="1">VLOOKUP($A6&amp;$B$1,'Export 3 Oct'!$B$6:$K$851,5, FALSE)</f>
        <v>PDF (text based), Web HTML page</v>
      </c>
      <c r="E6" s="12">
        <v>5</v>
      </c>
      <c r="F6" s="12"/>
      <c r="G6" s="12" t="str">
        <f ca="1">VLOOKUP($A6&amp;$B$1,'Export 3 Oct'!$B$6:$K$851,6, FALSE)</f>
        <v>https://wikirate.org/~21495993</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https://wikirate.org/~22246712</v>
      </c>
      <c r="H7" s="14"/>
      <c r="I7" s="12"/>
    </row>
    <row r="8" spans="1:9" ht="64">
      <c r="A8" s="13" t="s">
        <v>629</v>
      </c>
      <c r="B8" s="14" t="s">
        <v>1499</v>
      </c>
      <c r="C8" s="14" t="s">
        <v>1517</v>
      </c>
      <c r="D8" s="14" t="str">
        <f ca="1">VLOOKUP($A8&amp;$B$1,'Export 3 Oct'!$B$6:$K$851,5, FALSE)</f>
        <v>Yes</v>
      </c>
      <c r="E8" s="12">
        <v>10</v>
      </c>
      <c r="F8" s="12"/>
      <c r="G8" s="12" t="str">
        <f ca="1">VLOOKUP($A8&amp;$B$1,'Export 3 Oct'!$B$6:$K$851,6, FALSE)</f>
        <v>https://wikirate.org/~21495993</v>
      </c>
      <c r="H8" s="14" t="str">
        <f ca="1">VLOOKUP($A8&amp;$B$1,'Export 3 Oct'!$B$6:$K$851,10, FALSE)</f>
        <v>I was able to find two instances so per the methodology that is a "Yes" but it must be noted that it is not a systematic approach seeing a lot of policies are mentioned but not linked to. Examples: Code of conduct (p. 341) DEIB commitment (p. 117) Laureen van Breen[https://wikirate.org/Laureen_van_Breen].....2025-08-20 07:11:43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https://wikirate.org/~22246741</v>
      </c>
      <c r="H9" s="14" t="str">
        <f ca="1">VLOOKUP($A9&amp;$B$1,'Export 3 Oct'!$B$6:$K$851,10, FALSE)</f>
        <v>There is also an archive but it's of sustainability reports, not the codes of conduct and policies. Those are only the current versions. Laureen van Breen[https://wikirate.org/Laureen_van_Breen].....2025-08-20 07:16:22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https://wikirate.org/~21495993</v>
      </c>
      <c r="H10" s="14"/>
      <c r="I10" s="12"/>
    </row>
    <row r="11" spans="1:9" ht="112">
      <c r="A11" s="13" t="s">
        <v>412</v>
      </c>
      <c r="B11" s="14" t="s">
        <v>1502</v>
      </c>
      <c r="C11" s="14" t="s">
        <v>1517</v>
      </c>
      <c r="D11" s="14" t="str">
        <f ca="1">VLOOKUP($A11&amp;$B$1,'Export 3 Oct'!$B$6:$K$851,5, FALSE)</f>
        <v>Yes</v>
      </c>
      <c r="E11" s="12">
        <v>10</v>
      </c>
      <c r="F11" s="12"/>
      <c r="G11" s="12" t="str">
        <f ca="1">VLOOKUP($A11&amp;$B$1,'Export 3 Oct'!$B$6:$K$851,6, FALSE)</f>
        <v>https://wikirate.org/~21495993</v>
      </c>
      <c r="H11" s="14" t="str">
        <f ca="1">VLOOKUP($A11&amp;$B$1,'Export 3 Oct'!$B$6:$K$851,10, FALSE)</f>
        <v>"We have conducted a limited assurance engagement on the Sustainability Statement of MERCK Kommanditgesellschaft auf Aktien, Darmstadt, Germany, combining the Group Sustainability Statement and the non-financial statement of the partent (‚Äúthe Combined Sustainability Statement‚Äù), included in the section ‚Äú(Group) Sustainability Statement‚Äù of the combined management report for the parent and the group, for the financial year from January 1 to December 31, 2024." (p. 508) Laureen van Breen[https://wikirate.org/Laureen_van_Breen].....2025-08-20 07:22:29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https://wikirate.org/~21495993</v>
      </c>
      <c r="H12" s="14"/>
      <c r="I12" s="12"/>
    </row>
    <row r="13" spans="1:9" ht="208">
      <c r="A13" s="13" t="s">
        <v>1044</v>
      </c>
      <c r="B13" s="14" t="s">
        <v>1504</v>
      </c>
      <c r="C13" s="14" t="s">
        <v>1520</v>
      </c>
      <c r="D13" s="14" t="str">
        <f ca="1">VLOOKUP($A13&amp;$B$1,'Export 3 Oct'!$B$6:$K$851,5, FALSE)</f>
        <v>GRI Standards, SASB, CSRD (ESRS), CDP, Greenhouse Gas Protocol, Other</v>
      </c>
      <c r="E13" s="12">
        <v>10</v>
      </c>
      <c r="F13" s="12"/>
      <c r="G13" s="12" t="str">
        <f ca="1">VLOOKUP($A13&amp;$B$1,'Export 3 Oct'!$B$6:$K$851,6, FALSE)</f>
        <v>https://wikirate.org/~21495993</v>
      </c>
      <c r="H13" s="14" t="str">
        <f ca="1">VLOOKUP($A13&amp;$B$1,'Export 3 Oct'!$B$6:$K$851,10, FALSE)</f>
        <v>"When preparing the Group Sustainability Statement, the first set of European Sustainability Reporting Standards (ESRS) was implemented in full." "The information based on the standards of the Sustainability Accounting Standards Board (SASB), the Task Force on Climate-related Financial disclosures (TCFD) and the Global Reporting Initiative (GRI) can be found in the Annual Report under ‚ÄúOther Information‚Äù." (p. 104) "In accordance with the Greenhouse Gas Protocol (GHG Protocol), we distinguish between the following sources when calculating our Scope 1 emissions:" (p. 162) Links to CDP disclosures from a few places, e.g: p. 515 The IFRS is also referenced but only in relation to financial disclosures (so Merck did not use their sustainability standards; ISSB). Laureen van Breen[https://wikirate.org/Laureen_van_Breen].....2025-08-20 07:29:15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https://wikirate.org/~21495993</v>
      </c>
      <c r="H14" s="14" t="str">
        <f ca="1">VLOOKUP($A14&amp;$B$1,'Export 3 Oct'!$B$6:$K$851,10, FALSE)</f>
        <v>Alongside disclosure example: p. 152 Index example: p. 513 Laureen van Breen[https://wikirate.org/Laureen_van_Breen].....2025-08-20 07:37:31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https://wikirate.org/~21495993</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https://wikirate.org/~21495993</v>
      </c>
      <c r="H16" s="14"/>
      <c r="I16" s="12"/>
    </row>
    <row r="17" spans="1:9">
      <c r="A17" s="15" t="s">
        <v>1512</v>
      </c>
      <c r="B17" s="16"/>
      <c r="C17" s="17"/>
      <c r="D17" s="16"/>
      <c r="E17" s="17"/>
      <c r="F17" s="17"/>
      <c r="G17" s="17"/>
      <c r="H17" s="16"/>
      <c r="I17" s="12"/>
    </row>
    <row r="18" spans="1:9" ht="96">
      <c r="A18" s="13" t="s">
        <v>1195</v>
      </c>
      <c r="B18" s="14" t="s">
        <v>1508</v>
      </c>
      <c r="C18" s="12" t="s">
        <v>1523</v>
      </c>
      <c r="D18" s="14" t="str">
        <f ca="1">VLOOKUP($A18&amp;$B$1,'Export 3 Oct'!$B$6:$K$851,5, FALSE)</f>
        <v>Yes</v>
      </c>
      <c r="E18" s="12" t="s">
        <v>1515</v>
      </c>
      <c r="F18" s="12"/>
      <c r="G18" s="12" t="str">
        <f ca="1">VLOOKUP($A18&amp;$B$1,'Export 3 Oct'!$B$6:$K$851,6, FALSE)</f>
        <v>https://wikirate.org/~21495993</v>
      </c>
      <c r="H18" s="14" t="str">
        <f ca="1">VLOOKUP($A18&amp;$B$1,'Export 3 Oct'!$B$6:$K$851,10, FALSE)</f>
        <v>"Based on our double materiality analysis, the reporting extends to the upstream and downstream value chain where applicable in the respective policies, actions, metrics and targets." p. 105 Laureen van Breen[https://wikirate.org/Laureen_van_Breen].....2025-08-20 08:04:37 UTC "To identify our material IROs, we conducted a double materiality analysis. The process can be described in the following steps:...." p. 122-123 Lucia Ixtacuy[https://wikirate.org/Lucia_Ixtacuy].....2025-08-29 12:03:39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https://wikirate.org/~21495993</v>
      </c>
      <c r="H19" s="14"/>
      <c r="I19" s="12"/>
    </row>
    <row r="20" spans="1:9" ht="112">
      <c r="A20" s="13" t="s">
        <v>814</v>
      </c>
      <c r="B20" s="14" t="s">
        <v>1510</v>
      </c>
      <c r="C20" s="14" t="s">
        <v>1524</v>
      </c>
      <c r="D20" s="14" t="str">
        <f ca="1">VLOOKUP($A20&amp;$B$1,'Export 3 Oct'!$B$6:$K$851,5, FALSE)</f>
        <v>Limited assurance</v>
      </c>
      <c r="E20" s="12" t="s">
        <v>1515</v>
      </c>
      <c r="F20" s="12"/>
      <c r="G20" s="12" t="str">
        <f ca="1">VLOOKUP($A20&amp;$B$1,'Export 3 Oct'!$B$6:$K$851,6, FALSE)</f>
        <v>https://wikirate.org/~21495993</v>
      </c>
      <c r="H20" s="14" t="str">
        <f ca="1">VLOOKUP($A20&amp;$B$1,'Export 3 Oct'!$B$6:$K$851,10, FALSE)</f>
        <v>"We have conducted a limited assurance engagement on the Sustainability Statement of MERCK Kommanditgesellschaft auf Aktien, Darmstadt, Germany, combining the Group Sustainability Statement and the non-financial statement of the partent (‚Äúthe Combined Sustainability Statement‚Äù), included in the section ‚Äú(Group) Sustainability Statement‚Äù of the combined management report for the parent and the group, for the financial year from January 1 to December 31, 2024." (p. 508) Laureen van Breen[https://wikirate.org/Laureen_van_Breen].....2025-08-20 08:10:21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https://wikirate.org/~21495993</v>
      </c>
      <c r="H21" s="14" t="str">
        <f ca="1">VLOOKUP($A21&amp;$B$1,'Export 3 Oct'!$B$6:$K$851,10, FALSE)</f>
        <v>"In addition, we ask our suppliers to have assessments or audits carried out by us or by trusted partner companies and have also integrated this requirement into contracts. " (p. 246) Laureen van Breen[https://wikirate.org/Laureen_van_Breen].....2025-08-20 08:18:51 UTC</v>
      </c>
      <c r="I21" s="12"/>
    </row>
    <row r="26" spans="1:9">
      <c r="A26" s="39" t="s">
        <v>1634</v>
      </c>
    </row>
    <row r="27" spans="1:9">
      <c r="A27" s="38" t="s">
        <v>1630</v>
      </c>
      <c r="B27" s="40">
        <f>AVERAGE($E$5,$E$6,$E$7)</f>
        <v>6.666666666666667</v>
      </c>
    </row>
    <row r="28" spans="1:9">
      <c r="A28" s="38" t="s">
        <v>1631</v>
      </c>
      <c r="B28" s="40">
        <f>AVERAGE($E$8,$E$9)</f>
        <v>7.5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C77D7-FD79-C443-AFCE-CD2E0B0E2219}">
  <sheetPr codeName="Sheet39"/>
  <dimension ref="A1:I30"/>
  <sheetViews>
    <sheetView workbookViewId="0">
      <selection activeCell="F1" sqref="F1"/>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Rheinmetall AG</v>
      </c>
    </row>
    <row r="2" spans="1:9" ht="23">
      <c r="A2" s="8" t="s">
        <v>1616</v>
      </c>
      <c r="B2" s="18">
        <f>SUM(E5:E16)/12</f>
        <v>4.083333333333333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Central database</v>
      </c>
      <c r="E5" s="12">
        <v>5</v>
      </c>
      <c r="F5" s="12"/>
      <c r="G5" s="12" t="str">
        <f ca="1">VLOOKUP($A5&amp;$B$1,'Export 3 Oct'!$B$6:$K$851,6, FALSE)</f>
        <v>https://wikirate.org/~22219449</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https://wikirate.org/~22219494</v>
      </c>
      <c r="H6" s="14"/>
      <c r="I6" s="12"/>
    </row>
    <row r="7" spans="1:9" ht="32">
      <c r="A7" s="13" t="s">
        <v>901</v>
      </c>
      <c r="B7" s="14" t="s">
        <v>1498</v>
      </c>
      <c r="C7" s="14" t="s">
        <v>1517</v>
      </c>
      <c r="D7" s="14" t="str">
        <f ca="1">VLOOKUP($A7&amp;$B$1,'Export 3 Oct'!$B$6:$K$851,5, FALSE)</f>
        <v>No</v>
      </c>
      <c r="E7" s="12">
        <v>0</v>
      </c>
      <c r="F7" s="12"/>
      <c r="G7" s="12" t="str">
        <f ca="1">VLOOKUP($A7&amp;$B$1,'Export 3 Oct'!$B$6:$K$851,6, FALSE)</f>
        <v>https://wikirate.org/~22219562</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https://wikirate.org/~22219494</v>
      </c>
      <c r="H8" s="14"/>
      <c r="I8" s="12"/>
    </row>
    <row r="9" spans="1:9" ht="64">
      <c r="A9" s="13" t="s">
        <v>701</v>
      </c>
      <c r="B9" s="14" t="s">
        <v>1500</v>
      </c>
      <c r="C9" s="14" t="s">
        <v>1518</v>
      </c>
      <c r="D9" s="14" t="str">
        <f ca="1">VLOOKUP($A9&amp;$B$1,'Export 3 Oct'!$B$6:$K$851,5, FALSE)</f>
        <v>No</v>
      </c>
      <c r="E9" s="12">
        <v>0</v>
      </c>
      <c r="F9" s="12"/>
      <c r="G9" s="12" t="str">
        <f ca="1">VLOOKUP($A9&amp;$B$1,'Export 3 Oct'!$B$6:$K$851,6, FALSE)</f>
        <v>https://wikirate.org/~21496886</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https://wikirate.org/~22219494</v>
      </c>
      <c r="H10" s="14"/>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https://wikirate.org/~22219494</v>
      </c>
      <c r="H11" s="14" t="str">
        <f ca="1">VLOOKUP($A11&amp;$B$1,'Export 3 Oct'!$B$6:$K$851,10, FALSE)</f>
        <v>P4: "This report contains the key financial and non-financial information to provide our stakeholders with a comprehensive overview of our performance in fiscal 2024." Marc McGowan[https://wikirate.org/Marc_McGowan].....2025-08-15 14:46:03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https://wikirate.org/~22219494</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https://wikirate.org/~22219494</v>
      </c>
      <c r="H13" s="14" t="str">
        <f ca="1">VLOOKUP($A13&amp;$B$1,'Export 3 Oct'!$B$6:$K$851,10, FALSE)</f>
        <v>P99 ESRS discussion list P126: "Gross Scopes 1, 2, 3 and Total GHG emissions The greenhouse gas emissions were determined in accordance with the Greenhouse Gas Protocol." Marc McGowan[https://wikirate.org/Marc_McGowan].....2025-08-15 14:55:23 UTC</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https://wikirate.org/~22219494</v>
      </c>
      <c r="H14" s="14" t="str">
        <f ca="1">VLOOKUP($A14&amp;$B$1,'Export 3 Oct'!$B$6:$K$851,10, FALSE)</f>
        <v>There are small reference to codes next to section titles, example. p. 77 "Environmental, social, governance ESRS 2 GOV 5 36 c)" Lucia Ixtacuy[https://wikirate.org/Lucia_Ixtacuy].....2025-08-29 13:43:01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https://wikirate.org/~22219494</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https://wikirate.org/~22219494</v>
      </c>
      <c r="H16" s="14"/>
      <c r="I16" s="12"/>
    </row>
    <row r="17" spans="1:9">
      <c r="A17" s="15" t="s">
        <v>1512</v>
      </c>
      <c r="B17" s="16"/>
      <c r="C17" s="17"/>
      <c r="D17" s="16"/>
      <c r="E17" s="17"/>
      <c r="F17" s="17"/>
      <c r="G17" s="17"/>
      <c r="H17" s="16"/>
      <c r="I17" s="12"/>
    </row>
    <row r="18" spans="1:9" ht="176">
      <c r="A18" s="13" t="s">
        <v>1195</v>
      </c>
      <c r="B18" s="14" t="s">
        <v>1508</v>
      </c>
      <c r="C18" s="12" t="s">
        <v>1523</v>
      </c>
      <c r="D18" s="14" t="str">
        <f ca="1">VLOOKUP($A18&amp;$B$1,'Export 3 Oct'!$B$6:$K$851,5, FALSE)</f>
        <v>Yes</v>
      </c>
      <c r="E18" s="12" t="s">
        <v>1515</v>
      </c>
      <c r="F18" s="12"/>
      <c r="G18" s="12" t="str">
        <f ca="1">VLOOKUP($A18&amp;$B$1,'Export 3 Oct'!$B$6:$K$851,6, FALSE)</f>
        <v>https://wikirate.org/~22219494</v>
      </c>
      <c r="H18" s="14" t="str">
        <f ca="1">VLOOKUP($A18&amp;$B$1,'Export 3 Oct'!$B$6:$K$851,10, FALSE)</f>
        <v>P97: Double materiality assessment Marc McGowan[https://wikirate.org/Marc_McGowan].....2025-08-15 15:06:02 UTC "Description of the processes to identify and assess material climate related impacts, risks and opportunities. Together with the ESG managers of the segments and internal stakeholders, the Sustainability department of the Rheinmetall Group has developed the material topics for the Group as part of sustainability reporting. To identify the material topics for the Rheinmetall Group, a double materiality analysis was carried out for the first time, which will be reassessed annually in future. This ‚Äúdouble materiality‚Äù stipulates that impacts on people and the environment must be considered as well as the financial impact on the company. Relevant for the materiality analysis were, on the one hand, Rheinmetall's own business activities at Rheinmetall sites worldwide and, on the other, the entire value chain of the products. The approach chosen corresponds to the combined bottom-up (segment) and top-do...</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https://wikirate.org/~22219494</v>
      </c>
      <c r="H19" s="14"/>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https://wikirate.org/~22219494</v>
      </c>
      <c r="H20" s="14" t="str">
        <f ca="1">VLOOKUP($A20&amp;$B$1,'Export 3 Oct'!$B$6:$K$851,10, FALSE)</f>
        <v>P15: " The sustainability statement, which is integrated into the combined management report, was audited with limited assurance by Deloitte GmbH Wirtschaftspr√ºfungsgesellschaft" Marc McGowan[https://wikirate.org/Marc_McGowan].....2025-08-15 15:15:01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https://wikirate.org/~22219494</v>
      </c>
      <c r="H21" s="14" t="str">
        <f ca="1">VLOOKUP($A21&amp;$B$1,'Export 3 Oct'!$B$6:$K$851,10, FALSE)</f>
        <v>P94: Formats of dialog: "Dialog with suppliers, supplier conferences, supplier development, supplier audits and supplier surveys" Marc McGowan[https://wikirate.org/Marc_McGowan].....2025-08-15 15:17:15 UTC</v>
      </c>
      <c r="I21" s="12"/>
    </row>
    <row r="26" spans="1:9">
      <c r="A26" s="39" t="s">
        <v>1634</v>
      </c>
    </row>
    <row r="27" spans="1:9">
      <c r="A27" s="38" t="s">
        <v>1630</v>
      </c>
      <c r="B27" s="40">
        <f>AVERAGE($E$5,$E$6,$E$7)</f>
        <v>3</v>
      </c>
    </row>
    <row r="28" spans="1:9">
      <c r="A28" s="38" t="s">
        <v>1631</v>
      </c>
      <c r="B28" s="40">
        <f>AVERAGE($E$8,$E$9)</f>
        <v>0</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C1C89-C856-3043-B59F-4FEEA2AC3C0B}">
  <sheetPr codeName="Sheet40"/>
  <dimension ref="A1:I30"/>
  <sheetViews>
    <sheetView topLeftCell="A19"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Robert Bosch GmbH</v>
      </c>
    </row>
    <row r="2" spans="1:9" ht="23">
      <c r="A2" s="8" t="s">
        <v>1616</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https://wikirate.org/~22208530</v>
      </c>
      <c r="H5" s="14" t="str">
        <f ca="1">VLOOKUP($A5&amp;$B$1,'Export 3 Oct'!$B$6:$K$851,10, FALSE)</f>
        <v>Annual Reports: https://www.annualreports.com/Company/bosch but only until 2023 Aureliane[https://wikirate.org/Aureliane].....2025-08-26 13:10:04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https://wikirate.org/~21496007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https://wikirate.org/~22208530</v>
      </c>
      <c r="H7" s="14"/>
      <c r="I7" s="12"/>
    </row>
    <row r="8" spans="1:9" ht="32">
      <c r="A8" s="13" t="s">
        <v>629</v>
      </c>
      <c r="B8" s="14" t="s">
        <v>1499</v>
      </c>
      <c r="C8" s="14" t="s">
        <v>1517</v>
      </c>
      <c r="D8" s="14" t="str">
        <f ca="1">VLOOKUP($A8&amp;$B$1,'Export 3 Oct'!$B$6:$K$851,5, FALSE)</f>
        <v>Yes</v>
      </c>
      <c r="E8" s="12">
        <v>10</v>
      </c>
      <c r="F8" s="12"/>
      <c r="G8" s="12" t="str">
        <f ca="1">VLOOKUP($A8&amp;$B$1,'Export 3 Oct'!$B$6:$K$851,6, FALSE)</f>
        <v>https://wikirate.org/~21496007</v>
      </c>
      <c r="H8" s="14" t="str">
        <f ca="1">VLOOKUP($A8&amp;$B$1,'Export 3 Oct'!$B$6:$K$851,10, FALSE)</f>
        <v>For examples see p. 74 and 77 Laureen van Breen[https://wikirate.org/Laureen_van_Breen].....2025-08-11 07:09:01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https://wikirate.org/~22208530</v>
      </c>
      <c r="H9" s="14" t="str">
        <f ca="1">VLOOKUP($A9&amp;$B$1,'Export 3 Oct'!$B$6:$K$851,10, FALSE)</f>
        <v>Under the 'Documents' section when you click 'Load more' Laureen van Breen[https://wikirate.org/Laureen_van_Breen].....2025-08-11 07:16:25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https://wikirate.org/~21496007</v>
      </c>
      <c r="H10" s="14"/>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https://wikirate.org/~21496007</v>
      </c>
      <c r="H11" s="14" t="str">
        <f ca="1">VLOOKUP($A11&amp;$B$1,'Export 3 Oct'!$B$6:$K$851,10, FALSE)</f>
        <v>p. 114 "The present report describes the progress made in terms of sustainable business practices in the 2024 financial year (January 1, 2024, to December 31, 2024)." Laureen van Breen[https://wikirate.org/Laureen_van_Breen].....2025-08-11 07:22:44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https://wikirate.org/~21496007</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https://wikirate.org/~21496007</v>
      </c>
      <c r="H13" s="14" t="str">
        <f ca="1">VLOOKUP($A13&amp;$B$1,'Export 3 Oct'!$B$6:$K$851,10, FALSE)</f>
        <v>GRI is used most comprehensively (p. 102-110) ESRS is used for the double materiality assessment only (p. 12 and 14) Greenhouse Gas Protocol is used for the definition and calculation of scope 1, 2, 3 (p. 8, 17, 29, 34) Laureen van Breen[https://wikirate.org/Laureen_van_Breen].....2025-08-11 07:31:04 UTC p. 18: The UN SDGs are also used to report certain environmental and social indicators. Aureliane[https://wikirate.org/Aureliane].....2025-08-27 15:53:40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https://wikirate.org/~21496007</v>
      </c>
      <c r="H14" s="14" t="str">
        <f ca="1">VLOOKUP($A14&amp;$B$1,'Export 3 Oct'!$B$6:$K$851,10, FALSE)</f>
        <v>Only for the GRI standard specific disclosure indicators are used (in the index): p. 102-110 For the ESRS they integrate high-level codes in the double materiality assessment matrix too, but these are not granular enough to identify specific disclosures (p. 14) Laureen van Breen[https://wikirate.org/Laureen_van_Breen].....2025-08-11 07:33:43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https://wikirate.org/~21496007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https://wikirate.org/~21496007</v>
      </c>
      <c r="H16" s="14"/>
      <c r="I16" s="12"/>
    </row>
    <row r="17" spans="1:9">
      <c r="A17" s="15" t="s">
        <v>1512</v>
      </c>
      <c r="B17" s="16"/>
      <c r="C17" s="17"/>
      <c r="D17" s="16"/>
      <c r="E17" s="17"/>
      <c r="F17" s="17"/>
      <c r="G17" s="17"/>
      <c r="H17" s="16"/>
      <c r="I17" s="12"/>
    </row>
    <row r="18" spans="1:9" ht="112">
      <c r="A18" s="13" t="s">
        <v>1195</v>
      </c>
      <c r="B18" s="14" t="s">
        <v>1508</v>
      </c>
      <c r="C18" s="12" t="s">
        <v>1523</v>
      </c>
      <c r="D18" s="14" t="str">
        <f ca="1">VLOOKUP($A18&amp;$B$1,'Export 3 Oct'!$B$6:$K$851,5, FALSE)</f>
        <v>Yes</v>
      </c>
      <c r="E18" s="12" t="s">
        <v>1515</v>
      </c>
      <c r="F18" s="12"/>
      <c r="G18" s="12" t="str">
        <f ca="1">VLOOKUP($A18&amp;$B$1,'Export 3 Oct'!$B$6:$K$851,6, FALSE)</f>
        <v>https://wikirate.org/~21496007</v>
      </c>
      <c r="H18" s="14" t="str">
        <f ca="1">VLOOKUP($A18&amp;$B$1,'Export 3 Oct'!$B$6:$K$851,10, FALSE)</f>
        <v>"As part of our double materiality assessment, we identified the sustainability matters in 2024 that could have a significant impact on our business, people, and the environment. With this approach, we are following the requirements of the Corporate Sustainability Reporting Directive (CSRD) and the associated European Sustainability Reporting Standards (ESRS). The assessment covers Bosch‚Äôs global activities and the entire value chain, taking the results of our established due diligence processes and exchange with our stakeholders into account." (p. 12) Laureen van Breen[https://wikirate.org/Laureen_van_Breen].....2025-08-11 07:38:26 UTC</v>
      </c>
      <c r="I18" s="12"/>
    </row>
    <row r="19" spans="1:9" ht="176">
      <c r="A19" s="13" t="s">
        <v>1280</v>
      </c>
      <c r="B19" s="14" t="s">
        <v>1509</v>
      </c>
      <c r="C19" s="12" t="s">
        <v>1523</v>
      </c>
      <c r="D19" s="14" t="str">
        <f ca="1">VLOOKUP($A19&amp;$B$1,'Export 3 Oct'!$B$6:$K$851,5, FALSE)</f>
        <v>No</v>
      </c>
      <c r="E19" s="12" t="s">
        <v>1515</v>
      </c>
      <c r="F19" s="12"/>
      <c r="G19" s="12" t="str">
        <f ca="1">VLOOKUP($A19&amp;$B$1,'Export 3 Oct'!$B$6:$K$851,6, FALSE)</f>
        <v>https://wikirate.org/~21496007</v>
      </c>
      <c r="H19" s="14" t="str">
        <f ca="1">VLOOKUP($A19&amp;$B$1,'Export 3 Oct'!$B$6:$K$851,10, FALSE)</f>
        <v>Some interesting information is provided but not their budget for lobbying activities. "A total of 49 associates represent the political interests of the Bosch Group worldwide vis-√†-vis institutions, ministries, governments, parliaments, and society." (p. 93) "As of 2021, we no longer make donations to political parties in Germany, but instead participate in the economic dialogue forums of the CDU, CSU, SPD, FDP, and B√ºndnis 90/ Die Gr√ºnen parties. Through these memberships, we strive to provide appropriate stable financial support and engage in a productive exchange of ideas which all participants benefit from. While the regional organizations are responsible for donations made outside Germany, the guidelines require donations to political parties to be submitted to the chairman of the board of management of Robert Bosch GmbH for his decision. No such matters were presented in 2024." (p. 94) Laureen van Breen[https://wikirate.org/Laureen_van_Breen].....2025-08-11 07:47:02 UTC</v>
      </c>
      <c r="I19" s="12"/>
    </row>
    <row r="20" spans="1:9" ht="128">
      <c r="A20" s="13" t="s">
        <v>814</v>
      </c>
      <c r="B20" s="14" t="s">
        <v>1510</v>
      </c>
      <c r="C20" s="14" t="s">
        <v>1524</v>
      </c>
      <c r="D20" s="14" t="str">
        <f ca="1">VLOOKUP($A20&amp;$B$1,'Export 3 Oct'!$B$6:$K$851,5, FALSE)</f>
        <v>Reasonable assurance</v>
      </c>
      <c r="E20" s="12" t="s">
        <v>1515</v>
      </c>
      <c r="F20" s="12"/>
      <c r="G20" s="12" t="str">
        <f ca="1">VLOOKUP($A20&amp;$B$1,'Export 3 Oct'!$B$6:$K$851,6, FALSE)</f>
        <v>https://wikirate.org/~21496007</v>
      </c>
      <c r="H20" s="14" t="str">
        <f ca="1">VLOOKUP($A20&amp;$B$1,'Export 3 Oct'!$B$6:$K$851,10, FALSE)</f>
        <v>"We have performed a reasonable assurance engagement on selected key performance indicators and statements within the sustainability report of Robert Bosch Gesellschaft mit beschr√§nkter Haftung, Stuttgart (hereinafter the ‚ÄúCompany‚Äù), which are marked with the ‚ÄúÓ¢ë‚Äù symbol in the sustainability report, for the period from January 1 to December 31, 2024 (hereinafter ‚Äúselected disclosures‚Äù). Our engagement exclusively refers to the selected disclosures marked with the ‚ÄúÓ¢ë‚Äù symbol in the German pdf version of the sustainability report. " (p. 111) The symbol did not copy/paste well - it's a blue tickmark. Laureen van Breen[https://wikirate.org/Laureen_van_Breen].....2025-08-11 07:50:12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https://wikirate.org/~21496007</v>
      </c>
      <c r="H21" s="14" t="str">
        <f ca="1">VLOOKUP($A21&amp;$B$1,'Export 3 Oct'!$B$6:$K$851,10, FALSE)</f>
        <v>"In addition to our supplier audits conducted by internal auditors, we also draw on the results of compatible third-party audits. " p. 80 Laureen van Breen[https://wikirate.org/Laureen_van_Breen].....2025-08-11 07:51:11 UTC</v>
      </c>
      <c r="I21" s="12"/>
    </row>
    <row r="26" spans="1:9">
      <c r="A26" s="39" t="s">
        <v>1634</v>
      </c>
    </row>
    <row r="27" spans="1:9">
      <c r="A27" s="38" t="s">
        <v>1630</v>
      </c>
      <c r="B27" s="40">
        <f>AVERAGE($E$5,$E$6,$E$7)</f>
        <v>6.333333333333333</v>
      </c>
    </row>
    <row r="28" spans="1:9">
      <c r="A28" s="38" t="s">
        <v>1631</v>
      </c>
      <c r="B28" s="40">
        <f>AVERAGE($E$8,$E$9)</f>
        <v>7.5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A4EA-23FF-E541-A604-D37C7E26D8F5}">
  <sheetPr codeName="Sheet41"/>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RTX Corporation</v>
      </c>
    </row>
    <row r="2" spans="1:9" ht="23">
      <c r="A2" s="8" t="s">
        <v>1617</v>
      </c>
      <c r="B2" s="18">
        <f>SUM(E5:E16)/12</f>
        <v>2.8333333333333335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https://wikirate.org/~22247291</v>
      </c>
      <c r="H5" s="14" t="str">
        <f ca="1">VLOOKUP($A5&amp;$B$1,'Export 3 Oct'!$B$6:$K$851,10, FALSE)</f>
        <v>Found entries in the Annual Reports and XBRL filings databases too, but those were not including any non-financial (ESG/susty) data. Laureen van Breen[https://wikirate.org/Laureen_van_Breen].....2025-08-20 13:35:19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https://wikirate.org/~21495979</v>
      </c>
      <c r="H6" s="14"/>
      <c r="I6" s="12"/>
    </row>
    <row r="7" spans="1:9" ht="32">
      <c r="A7" s="13" t="s">
        <v>901</v>
      </c>
      <c r="B7" s="14" t="s">
        <v>1498</v>
      </c>
      <c r="C7" s="14" t="s">
        <v>1517</v>
      </c>
      <c r="D7" s="14" t="str">
        <f ca="1">VLOOKUP($A7&amp;$B$1,'Export 3 Oct'!$B$6:$K$851,5, FALSE)</f>
        <v>No</v>
      </c>
      <c r="E7" s="12">
        <v>0</v>
      </c>
      <c r="F7" s="12"/>
      <c r="G7" s="12" t="str">
        <f ca="1">VLOOKUP($A7&amp;$B$1,'Export 3 Oct'!$B$6:$K$851,6, FALSE)</f>
        <v>https://wikirate.org/~22247291</v>
      </c>
      <c r="H7" s="14" t="str">
        <f ca="1">VLOOKUP($A7&amp;$B$1,'Export 3 Oct'!$B$6:$K$851,10, FALSE)</f>
        <v>Only the 2023 report is available. Laureen van Breen[https://wikirate.org/Laureen_van_Breen].....2025-08-20 13:41:52 UTC</v>
      </c>
      <c r="I7" s="12"/>
    </row>
    <row r="8" spans="1:9" ht="64">
      <c r="A8" s="13" t="s">
        <v>629</v>
      </c>
      <c r="B8" s="14" t="s">
        <v>1499</v>
      </c>
      <c r="C8" s="14" t="s">
        <v>1517</v>
      </c>
      <c r="D8" s="14" t="str">
        <f ca="1">VLOOKUP($A8&amp;$B$1,'Export 3 Oct'!$B$6:$K$851,5, FALSE)</f>
        <v>Yes</v>
      </c>
      <c r="E8" s="12">
        <v>10</v>
      </c>
      <c r="F8" s="12"/>
      <c r="G8" s="12" t="str">
        <f ca="1">VLOOKUP($A8&amp;$B$1,'Export 3 Oct'!$B$6:$K$851,6, FALSE)</f>
        <v>https://wikirate.org/~21495979</v>
      </c>
      <c r="H8" s="14" t="str">
        <f ca="1">VLOOKUP($A8&amp;$B$1,'Export 3 Oct'!$B$6:$K$851,10, FALSE)</f>
        <v>example page: 44 It should be noted however that the approach is not consistent.. The code of conduct link links to a landing page, the human rights policy link gives an error message, and then the conflict minerals and modern slavery statement links are direct links to the reference document. Laureen van Breen[https://wikirate.org/Laureen_van_Breen].....2025-08-20 13:45:41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https://wikirate.org/~22247291</v>
      </c>
      <c r="H9" s="14" t="str">
        <f ca="1">VLOOKUP($A9&amp;$B$1,'Export 3 Oct'!$B$6:$K$851,10, FALSE)</f>
        <v>https://www.rtx.com/who-we-are/ethics-and-compliance Aureliane[https://wikirate.org/Aureliane].....2025-09-01 10:51:10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https://wikirate.org/~21495979</v>
      </c>
      <c r="H10" s="14"/>
      <c r="I10" s="12"/>
    </row>
    <row r="11" spans="1:9" ht="48">
      <c r="A11" s="13" t="s">
        <v>412</v>
      </c>
      <c r="B11" s="14" t="s">
        <v>1502</v>
      </c>
      <c r="C11" s="14" t="s">
        <v>1517</v>
      </c>
      <c r="D11" s="14" t="str">
        <f ca="1">VLOOKUP($A11&amp;$B$1,'Export 3 Oct'!$B$6:$K$851,5, FALSE)</f>
        <v>No</v>
      </c>
      <c r="E11" s="12">
        <v>0</v>
      </c>
      <c r="F11" s="12"/>
      <c r="G11" s="12" t="str">
        <f ca="1">VLOOKUP($A11&amp;$B$1,'Export 3 Oct'!$B$6:$K$851,6, FALSE)</f>
        <v>https://wikirate.org/~21495979</v>
      </c>
      <c r="H11" s="14" t="str">
        <f ca="1">VLOOKUP($A11&amp;$B$1,'Export 3 Oct'!$B$6:$K$851,10, FALSE)</f>
        <v>It just says, "in 2023" in several places (e.g. p. 3) but no specifics are given and to from when to when the reporting period runs. Laureen van Breen[https://wikirate.org/Laureen_van_Breen].....2025-08-20 13:52:14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https://wikirate.org/~21495979</v>
      </c>
      <c r="H12" s="14"/>
      <c r="I12" s="12"/>
    </row>
    <row r="13" spans="1:9" ht="208">
      <c r="A13" s="13" t="s">
        <v>1044</v>
      </c>
      <c r="B13" s="14" t="s">
        <v>1504</v>
      </c>
      <c r="C13" s="14" t="s">
        <v>1520</v>
      </c>
      <c r="D13" s="14" t="str">
        <f ca="1">VLOOKUP($A13&amp;$B$1,'Export 3 Oct'!$B$6:$K$851,5, FALSE)</f>
        <v>None</v>
      </c>
      <c r="E13" s="12">
        <v>0</v>
      </c>
      <c r="F13" s="12"/>
      <c r="G13" s="12" t="str">
        <f ca="1">VLOOKUP($A13&amp;$B$1,'Export 3 Oct'!$B$6:$K$851,6, FALSE)</f>
        <v>https://wikirate.org/~21495979</v>
      </c>
      <c r="H13" s="14" t="str">
        <f ca="1">VLOOKUP($A13&amp;$B$1,'Export 3 Oct'!$B$6:$K$851,10, FALSE)</f>
        <v>"We provide details of our climate governance, strategy, risk management, metrics and goals in our 2023 CDP disclosure. The CDP questionnaire is aligned with the recommendations of the Task Force on Climate-related Financial Disclosures (TCFD), and we are committed to continue to align our disclosures with the TCFD recommendations as incorporated into the International Sustainability Standards Board (ISSB) standards. Our TCFD Index can be found in the Appendix of this report." p. 28 " For additional performance data and disclosures, including our Global Reporting Initiative (GRI) index, Sustainability Accounting Standards Board (SASB) disclosure and Task Force on Climate-Related Financial Disclosures (TCFD) index, view our Expanded ESG Report Appendix. " p. 46 These statements indicate that they used a number of standards but they do not seem to have used them for any of the disclosures in this report. Seeing it talks about 'alignment' rather than actually using it for their reporting have gone for not acc...</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https://wikirate.org/~21495979</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https://wikirate.org/~21495979</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https://wikirate.org/~21495979</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https://wikirate.org/~21495979</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https://wikirate.org/~21495979</v>
      </c>
      <c r="H19" s="14" t="str">
        <f ca="1">VLOOKUP($A19&amp;$B$1,'Export 3 Oct'!$B$6:$K$851,10, FALSE)</f>
        <v>p. 8 Laureen van Breen[https://wikirate.org/Laureen_van_Breen].....2025-08-20 19:17:03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https://wikirate.org/~21495979</v>
      </c>
      <c r="H20" s="14"/>
      <c r="I20" s="12"/>
    </row>
    <row r="21" spans="1:9" ht="144">
      <c r="A21" s="13" t="s">
        <v>13</v>
      </c>
      <c r="B21" s="14" t="s">
        <v>1511</v>
      </c>
      <c r="C21" s="12" t="s">
        <v>1523</v>
      </c>
      <c r="D21" s="14" t="str">
        <f ca="1">VLOOKUP($A21&amp;$B$1,'Export 3 Oct'!$B$6:$K$851,5, FALSE)</f>
        <v>No</v>
      </c>
      <c r="E21" s="12" t="s">
        <v>1515</v>
      </c>
      <c r="F21" s="12"/>
      <c r="G21" s="12" t="str">
        <f ca="1">VLOOKUP($A21&amp;$B$1,'Export 3 Oct'!$B$6:$K$851,6, FALSE)</f>
        <v>https://wikirate.org/~21495979</v>
      </c>
      <c r="H21" s="14" t="str">
        <f ca="1">VLOOKUP($A21&amp;$B$1,'Export 3 Oct'!$B$6:$K$851,10, FALSE)</f>
        <v>"We investigate whether suppliers satisfy these standards through human rights-related questions in conjunction with our initial supplier screening and onboarding process, as well as through annual supplier certifications. We also examine suppliers for potential human rights impacts related to their products or services. Our business units review the results of these screenings to identify areas of heightened risk. " p. 44 Audits are not specifically mentioned... but it sounds like they might be doing them. Laureen van Breen[https://wikirate.org/Laureen_van_Breen].....2025-08-20 19:26:22 UTC Annual supplier certifications most likely means they conduct audits, but the certification process could also be done via questionnaires... Aureliane[https://wikirate.org/Aureliane].....2025-09-01 10:55:35 UTC</v>
      </c>
      <c r="I21" s="12"/>
    </row>
    <row r="26" spans="1:9">
      <c r="A26" s="39" t="s">
        <v>1634</v>
      </c>
    </row>
    <row r="27" spans="1:9">
      <c r="A27" s="38" t="s">
        <v>1630</v>
      </c>
      <c r="B27" s="40">
        <f>AVERAGE($E$5,$E$6,$E$7)</f>
        <v>3</v>
      </c>
    </row>
    <row r="28" spans="1:9">
      <c r="A28" s="38" t="s">
        <v>1631</v>
      </c>
      <c r="B28" s="40">
        <f>AVERAGE($E$8,$E$9)</f>
        <v>7.5</v>
      </c>
    </row>
    <row r="29" spans="1:9">
      <c r="A29" s="38" t="s">
        <v>1632</v>
      </c>
      <c r="B29" s="40">
        <f>AVERAGE($E$10,$E$11,$E$12,$E$13,$E$14)</f>
        <v>2</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A3071-6283-B341-8370-CF7BE4B974D3}">
  <sheetPr codeName="Sheet42"/>
  <dimension ref="A1:I30"/>
  <sheetViews>
    <sheetView topLeftCell="A16"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RWE Group</v>
      </c>
    </row>
    <row r="2" spans="1:9" ht="23">
      <c r="A2" s="8" t="s">
        <v>1616</v>
      </c>
      <c r="B2" s="18">
        <f>SUM(E5:E16)/12</f>
        <v>5.333333333333333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https://wikirate.org/~22219278</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https://wikirate.org/~21476104</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https://wikirate.org/~22219284</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https://wikirate.org/~21476104</v>
      </c>
      <c r="H8" s="14" t="str">
        <f ca="1">VLOOKUP($A8&amp;$B$1,'Export 3 Oct'!$B$6:$K$851,10, FALSE)</f>
        <v>page 137 Luisa Valandro[https://wikirate.org/Luisa_Valandro].....2025-06-10 16:41:13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https://wikirate.org/~22219284</v>
      </c>
      <c r="H9" s="14" t="str">
        <f ca="1">VLOOKUP($A9&amp;$B$1,'Export 3 Oct'!$B$6:$K$851,10, FALSE)</f>
        <v>Current policies are available in the download centre Marc McGowan[https://wikirate.org/Marc_McGowan].....2025-08-15 12:42:24 UTC Listed under, "Download Type: Other" Thomas Howie[https://wikirate.org/Thomas_Howie].....2025-09-02 18:45:59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https://wikirate.org/~21484594</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https://wikirate.org/~21476104</v>
      </c>
      <c r="H11" s="14" t="str">
        <f ca="1">VLOOKUP($A11&amp;$B$1,'Export 3 Oct'!$B$6:$K$851,10, FALSE)</f>
        <v>P76: "The reporting period extends from 1 January 2024 to 31 December 2024" Marc McGowan[https://wikirate.org/Marc_McGowan].....2025-08-15 12:48:29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https://wikirate.org/~21476104</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https://wikirate.org/~21476104</v>
      </c>
      <c r="H13" s="14" t="str">
        <f ca="1">VLOOKUP($A13&amp;$B$1,'Export 3 Oct'!$B$6:$K$851,10, FALSE)</f>
        <v>P128:"RWE reports its greenhouse gas emissions in accordance with the principles, requirements and guidance of the Greenhouse Gas Protocol Standard, using its publicly available Greenhouse Gas Emission Inventory &amp; Calculation Methodology" P178 ESRS Index Marc McGowan[https://wikirate.org/Marc_McGowan].....2025-08-15 12:54:54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https://wikirate.org/~21476104</v>
      </c>
      <c r="H14" s="14" t="str">
        <f ca="1">VLOOKUP($A14&amp;$B$1,'Export 3 Oct'!$B$6:$K$851,10, FALSE)</f>
        <v>page 71 Luisa Valandro[https://wikirate.org/Luisa_Valandro].....2025-06-10 16:38:17 UTC P178-186 ESRS index Thomas Howie[https://wikirate.org/Thomas_Howie].....2025-09-02 18:50:06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https://wikirate.org/~21476104</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https://wikirate.org/~21476104</v>
      </c>
      <c r="H16" s="14"/>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https://wikirate.org/~21476104</v>
      </c>
      <c r="H18" s="14" t="str">
        <f ca="1">VLOOKUP($A18&amp;$B$1,'Export 3 Oct'!$B$6:$K$851,10, FALSE)</f>
        <v>P74:"This Group Sustainability Statement contains mandatory disclosures and information classified as material based on the results of the double materiality assessment (DMA)." Marc McGowan[https://wikirate.org/Marc_McGowan].....2025-08-15 12:58:42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https://wikirate.org/~21476104</v>
      </c>
      <c r="H19" s="14"/>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https://wikirate.org/~21476104</v>
      </c>
      <c r="H20" s="14" t="str">
        <f ca="1">VLOOKUP($A20&amp;$B$1,'Export 3 Oct'!$B$6:$K$851,10, FALSE)</f>
        <v>page 14 Luisa Valandro[https://wikirate.org/Luisa_Valandro].....2025-06-10 16:51:06 UTC</v>
      </c>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https://wikirate.org/~21476104</v>
      </c>
      <c r="H21" s="14" t="str">
        <f ca="1">VLOOKUP($A21&amp;$B$1,'Export 3 Oct'!$B$6:$K$851,10, FALSE)</f>
        <v>P89: "RWE has based the process of identifying actual and potential impacts, risks and opportunities related to sustainability matters on a ‚Äòtop-down‚Äô approach, using the list of topics in ESRS 1, AR 16. This list was complemented by a sector assessment, an earlier materiality assessment performed by RWE, and a review of existing processes including strategy planning and employee surveys as well as various due diligence mechanisms such as risk management, grievance mechanisms, incident management, supplier audits, as well as financial and non-financial reporting." Marc McGowan[https://wikirate.org/Marc_McGowan].....2025-08-15 13:10:40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5754A-C8E4-1248-AE3A-6737AA869853}">
  <sheetPr codeName="Sheet43"/>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Schaeffler Technologies</v>
      </c>
    </row>
    <row r="2" spans="1:9" ht="23">
      <c r="A2" s="8" t="s">
        <v>1616</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https://wikirate.org/~22209205</v>
      </c>
      <c r="H5" s="14" t="str">
        <f ca="1">VLOOKUP($A5&amp;$B$1,'Export 3 Oct'!$B$6:$K$851,10, FALSE)</f>
        <v>https://www.schaeffler.com/en/group/sustainability/ Lucia Ixtacuy[https://wikirate.org/Lucia_Ixtacuy].....2025-08-11 14:35:37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https://wikirate.org/~21496041</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https://wikirate.org/~22209205</v>
      </c>
      <c r="H7" s="14" t="str">
        <f ca="1">VLOOKUP($A7&amp;$B$1,'Export 3 Oct'!$B$6:$K$851,10, FALSE)</f>
        <v>https://www.schaeffler.com/en/group/sustainability/ Lucia Ixtacuy[https://wikirate.org/Lucia_Ixtacuy].....2025-08-11 13:26:31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https://wikirate.org/~21496041</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https://wikirate.org/~22209205</v>
      </c>
      <c r="H9" s="14" t="str">
        <f ca="1">VLOOKUP($A9&amp;$B$1,'Export 3 Oct'!$B$6:$K$851,10, FALSE)</f>
        <v>https://www.schaeffler.com/en/group/sustainability/ Lucia Ixtacuy[https://wikirate.org/Lucia_Ixtacuy].....2025-08-11 14:44:15 UTC</v>
      </c>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https://wikirate.org/~21496041</v>
      </c>
      <c r="H10" s="14" t="str">
        <f ca="1">VLOOKUP($A10&amp;$B$1,'Export 3 Oct'!$B$6:$K$851,10, FALSE)</f>
        <v>"The company was founded on April 19, 1982, and is registered in the Commercial Register of the F√ºrth Local Court (HRB No. 14738)." p. 183 (marked at p. 130 in the document pagination) Laureen van Breen[https://wikirate.org/Laureen_van_Breen].....2025-09-21 08:44:31 UTC</v>
      </c>
      <c r="I10" s="12"/>
    </row>
    <row r="11" spans="1:9" ht="112">
      <c r="A11" s="13" t="s">
        <v>412</v>
      </c>
      <c r="B11" s="14" t="s">
        <v>1502</v>
      </c>
      <c r="C11" s="14" t="s">
        <v>1517</v>
      </c>
      <c r="D11" s="14" t="str">
        <f ca="1">VLOOKUP($A11&amp;$B$1,'Export 3 Oct'!$B$6:$K$851,5, FALSE)</f>
        <v>Yes</v>
      </c>
      <c r="E11" s="12">
        <v>10</v>
      </c>
      <c r="F11" s="12"/>
      <c r="G11" s="12" t="str">
        <f ca="1">VLOOKUP($A11&amp;$B$1,'Export 3 Oct'!$B$6:$K$851,6, FALSE)</f>
        <v>https://wikirate.org/~21496041</v>
      </c>
      <c r="H11" s="14" t="str">
        <f ca="1">VLOOKUP($A11&amp;$B$1,'Export 3 Oct'!$B$6:$K$851,10, FALSE)</f>
        <v>There is only mention on p. i18 ""Separate and consolidated financial statements 2024....The report covers the period from Januar y 1, 2024, to December 31, 2024" Lucia Ixtacuy[https://wikirate.org/Lucia_Ixtacuy].....2025-08-11 13:17:39 UTC In combination with this statement on p. 97 (44 according document's own pagination) "This sustainability statement discloses required non-financial information for 2024 for both the Schaeffler Group and Schaeffler AG." I would say that is sufficient. But it certainly isn't ideal to have to piece together like this. Laureen van Breen[https://wikirate.org/Laureen_van_Breen].....2025-09-21 08:49:28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https://wikirate.org/~21496041</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https://wikirate.org/~21496041</v>
      </c>
      <c r="H13" s="14" t="str">
        <f ca="1">VLOOKUP($A13&amp;$B$1,'Export 3 Oct'!$B$6:$K$851,10, FALSE)</f>
        <v>For financial report p. 27 "The consolidated financial statements of Schaeffler AG as at and for the year ended December 31, 2024, were prepared in accordance with International Financial Reporting Standards (IFRS) as adopted by the European Union and the additional requirements of German commercial law pursuant to section 315e (1) German Commercial Code." "This assurance conclusion includes that nothing has come to our attention that causes us to believe that: ‚Ä¢ the accompanying combined group non-financial declaration does not comply, in all material respects, with the European Sustainability Reporting Standards (ESRS), including that the process carried out by the entity to identif y information to be included in the combined group non-financial declaration (the materiality assessment) is not, in all material respects, in accordance with the description set out in section ‚ÄúGeneral Disclosures‚Äù of the combined group non-financial declaration, or ‚Ä¢ the corresponding disclosures in the combined group non-f...</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https://wikirate.org/~21496041</v>
      </c>
      <c r="H14" s="14" t="str">
        <f ca="1">VLOOKUP($A14&amp;$B$1,'Export 3 Oct'!$B$6:$K$851,10, FALSE)</f>
        <v>Index on page 166-169. However the index does not include page numbers, only chapter references so that is not sufficient to meet the index criteria. Laureen van Breen[https://wikirate.org/Laureen_van_Breen].....2025-09-21 09:07:26 UTC Example of integrate indicator code alongside disclosure: page 143 (listed as page 90 in the document itself) Laureen van Breen[https://wikirate.org/Laureen_van_Breen].....2025-09-21 09:08:04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https://wikirate.org/~21496041</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https://wikirate.org/~21496041</v>
      </c>
      <c r="H16" s="14"/>
      <c r="I16" s="12"/>
    </row>
    <row r="17" spans="1:9">
      <c r="A17" s="15" t="s">
        <v>1512</v>
      </c>
      <c r="B17" s="16"/>
      <c r="C17" s="17"/>
      <c r="D17" s="16"/>
      <c r="E17" s="17"/>
      <c r="F17" s="17"/>
      <c r="G17" s="17"/>
      <c r="H17" s="16"/>
      <c r="I17" s="12"/>
    </row>
    <row r="18" spans="1:9" ht="128">
      <c r="A18" s="13" t="s">
        <v>1195</v>
      </c>
      <c r="B18" s="14" t="s">
        <v>1508</v>
      </c>
      <c r="C18" s="12" t="s">
        <v>1523</v>
      </c>
      <c r="D18" s="14" t="str">
        <f ca="1">VLOOKUP($A18&amp;$B$1,'Export 3 Oct'!$B$6:$K$851,5, FALSE)</f>
        <v>Yes</v>
      </c>
      <c r="E18" s="12" t="s">
        <v>1515</v>
      </c>
      <c r="F18" s="12"/>
      <c r="G18" s="12" t="str">
        <f ca="1">VLOOKUP($A18&amp;$B$1,'Export 3 Oct'!$B$6:$K$851,6, FALSE)</f>
        <v>https://wikirate.org/~21496041</v>
      </c>
      <c r="H18" s="14" t="str">
        <f ca="1">VLOOKUP($A18&amp;$B$1,'Export 3 Oct'!$B$6:$K$851,10, FALSE)</f>
        <v>p. 44 "The Schaeffler Group‚Äôs impacts, risks, and opportunities (IROs) with respect to environment, social, and governance (ESG) topics were considered in a double materiality assessment in accordance with ESRS. This assessment covered the company‚Äôs own operations and upstream and downstream value chain. This sustainability statement sets out the IROs identified as material and the related policies, actions, and, where applicable, targets and metrics. " Lucia Ixtacuy[https://wikirate.org/Lucia_Ixtacuy].....2025-08-11 14:31:45 UTC This evidence can be found on page 97 (according to the pdf viewer tool) Laureen van Breen[https://wikirate.org/Laureen_van_Breen].....2025-09-21 09:09:59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https://wikirate.org/~21496041</v>
      </c>
      <c r="H19" s="14"/>
      <c r="I19" s="12"/>
    </row>
    <row r="20" spans="1:9" ht="112">
      <c r="A20" s="13" t="s">
        <v>814</v>
      </c>
      <c r="B20" s="14" t="s">
        <v>1510</v>
      </c>
      <c r="C20" s="14" t="s">
        <v>1524</v>
      </c>
      <c r="D20" s="14" t="str">
        <f ca="1">VLOOKUP($A20&amp;$B$1,'Export 3 Oct'!$B$6:$K$851,5, FALSE)</f>
        <v>Limited assurance</v>
      </c>
      <c r="E20" s="12" t="s">
        <v>1515</v>
      </c>
      <c r="F20" s="12"/>
      <c r="G20" s="12" t="str">
        <f ca="1">VLOOKUP($A20&amp;$B$1,'Export 3 Oct'!$B$6:$K$851,6, FALSE)</f>
        <v>https://wikirate.org/~21496041</v>
      </c>
      <c r="H20" s="14" t="str">
        <f ca="1">VLOOKUP($A20&amp;$B$1,'Export 3 Oct'!$B$6:$K$851,10, FALSE)</f>
        <v>p. 117 "Assurance report of the independent German Public Auditor on a limited assurance engagement in relation to the combined group non-financial declaration" Lucia Ixtacuy[https://wikirate.org/Lucia_Ixtacuy].....2025-08-08 16:29:27 UTC "We have conducted a limited assurance engagement on the combined group non-financial declaration, included in section ‚ÄúSustainability Statement‚Äù of the group management report, of Schaeffler AG, Herzogenaurach, for the financial year from Januar y 1, 2024 to December 31, 2024." p.170 (marked as 117p in doc) Laureen van Breen[https://wikirate.org/Laureen_van_Breen].....2025-09-21 09:13:19 UTC</v>
      </c>
      <c r="I20" s="12"/>
    </row>
    <row r="21" spans="1:9" ht="48">
      <c r="A21" s="13" t="s">
        <v>13</v>
      </c>
      <c r="B21" s="14" t="s">
        <v>1511</v>
      </c>
      <c r="C21" s="12" t="s">
        <v>1523</v>
      </c>
      <c r="D21" s="14" t="str">
        <f ca="1">VLOOKUP($A21&amp;$B$1,'Export 3 Oct'!$B$6:$K$851,5, FALSE)</f>
        <v>Yes</v>
      </c>
      <c r="E21" s="12" t="s">
        <v>1515</v>
      </c>
      <c r="F21" s="12"/>
      <c r="G21" s="12" t="str">
        <f ca="1">VLOOKUP($A21&amp;$B$1,'Export 3 Oct'!$B$6:$K$851,6, FALSE)</f>
        <v>https://wikirate.org/~21496041</v>
      </c>
      <c r="H21" s="14" t="str">
        <f ca="1">VLOOKUP($A21&amp;$B$1,'Export 3 Oct'!$B$6:$K$851,10, FALSE)</f>
        <v>p. 158 "The Schaeffler Group actively promotes the establishment of this assessment standard by requesting selected suppliers to conduct an audit according to the RSCI standard. " Lucia Ixtacuy[https://wikirate.org/Lucia_Ixtacuy].....2025-08-08 16:25:59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6586-C397-5648-A28F-B7ABD17B6570}">
  <sheetPr codeName="Sheet44"/>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Siemens AG</v>
      </c>
    </row>
    <row r="2" spans="1:9" ht="23">
      <c r="A2" s="8" t="s">
        <v>1616</v>
      </c>
      <c r="B2" s="18">
        <f>SUM(E5:E16)/12</f>
        <v>6.583333333333333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https://wikirate.org/~22209054</v>
      </c>
      <c r="H5" s="14" t="str">
        <f ca="1">VLOOKUP($A5&amp;$B$1,'Export 3 Oct'!$B$6:$K$851,10, FALSE)</f>
        <v>https://www.siemens.com/global/en/company/sustainability/reports-figures.html https://www.annualreports.com/Company/siemens-ag Lucia Ixtacuy[https://wikirate.org/Lucia_Ixtacuy].....2025-08-11 12:30:21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https://wikirate.org/~21495929</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https://wikirate.org/~22209054</v>
      </c>
      <c r="H7" s="14" t="str">
        <f ca="1">VLOOKUP($A7&amp;$B$1,'Export 3 Oct'!$B$6:$K$851,10, FALSE)</f>
        <v>https://www.siemens.com/global/en/company/sustainability/reports-figures.html Lucia Ixtacuy[https://wikirate.org/Lucia_Ixtacuy].....2025-08-11 12:34:29 UTC</v>
      </c>
      <c r="I7" s="12"/>
    </row>
    <row r="8" spans="1:9" ht="160">
      <c r="A8" s="13" t="s">
        <v>629</v>
      </c>
      <c r="B8" s="14" t="s">
        <v>1499</v>
      </c>
      <c r="C8" s="14" t="s">
        <v>1517</v>
      </c>
      <c r="D8" s="14" t="str">
        <f ca="1">VLOOKUP($A8&amp;$B$1,'Export 3 Oct'!$B$6:$K$851,5, FALSE)</f>
        <v>Yes</v>
      </c>
      <c r="E8" s="12">
        <v>10</v>
      </c>
      <c r="F8" s="12"/>
      <c r="G8" s="12" t="str">
        <f ca="1">VLOOKUP($A8&amp;$B$1,'Export 3 Oct'!$B$6:$K$851,6, FALSE)</f>
        <v>https://wikirate.org/~21495929</v>
      </c>
      <c r="H8" s="14" t="str">
        <f ca="1">VLOOKUP($A8&amp;$B$1,'Export 3 Oct'!$B$6:$K$851,10, FALSE)</f>
        <v>p. 51 POLICY STATEMENT "The Legal and Compliance organization is the overarching coordination body and monitors the corporate risk management on human rights for Siemens‚Äô own operations as well as for direct and indirect suppliers. " https://www.siemens.com/global/en/company/sustainability/social-commitments/humanrights.html p. 60 " More information and the text of our Responsible Minerals Sourcing Policy can be found at WWW.SIEMENS.COM/RESPONSIBLEMINERALS" p. 63 "Our environmental policies also include a commitment to continually mitigate the adverse environmental impact of our products, systems, solutions, and services.WEBSITE ON ENVIRONMENTAL PROTECTION" Lucia Ixtacuy[https://wikirate.org/Lucia_Ixtacuy].....2025-08-11 12:45:28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https://wikirate.org/~22209123</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https://wikirate.org/~21495929</v>
      </c>
      <c r="H10" s="14"/>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https://wikirate.org/~21495929</v>
      </c>
      <c r="H11" s="14" t="str">
        <f ca="1">VLOOKUP($A11&amp;$B$1,'Export 3 Oct'!$B$6:$K$851,10, FALSE)</f>
        <v>p.136 "Reporting period and Report boundaries This Report refers to the Siemens 2024 fiscal year (October 1, 2023, to September 30, 2024)." Lucia Ixtacuy[https://wikirate.org/Lucia_Ixtacuy].....2025-08-07 13:08:32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https://wikirate.org/~21495929</v>
      </c>
      <c r="H12" s="14"/>
      <c r="I12" s="12"/>
    </row>
    <row r="13" spans="1:9" ht="208">
      <c r="A13" s="13" t="s">
        <v>1044</v>
      </c>
      <c r="B13" s="14" t="s">
        <v>1504</v>
      </c>
      <c r="C13" s="14" t="s">
        <v>1520</v>
      </c>
      <c r="D13" s="14" t="str">
        <f ca="1">VLOOKUP($A13&amp;$B$1,'Export 3 Oct'!$B$6:$K$851,5, FALSE)</f>
        <v>GRI Standards, SASB, CDP, Greenhouse Gas Protocol, Other</v>
      </c>
      <c r="E13" s="12">
        <v>10</v>
      </c>
      <c r="F13" s="12"/>
      <c r="G13" s="12" t="str">
        <f ca="1">VLOOKUP($A13&amp;$B$1,'Export 3 Oct'!$B$6:$K$851,6, FALSE)</f>
        <v>https://wikirate.org/~21495929</v>
      </c>
      <c r="H13" s="14" t="str">
        <f ca="1">VLOOKUP($A13&amp;$B$1,'Export 3 Oct'!$B$6:$K$851,10, FALSE)</f>
        <v>Our materiality assessment is based on external frameworks like the UN Global Compact and the Standards of the Global Reporting Initiative (GRI 2021), which are the foundation for our reporting. Lucia Ixtacuy[https://wikirate.org/Lucia_Ixtacuy].....2025-08-07 13:11:14 UTC Siemens also uses the Task Force on Climate-Related Financial Disclosure to disclose sustainability information (mostly how they're managing risks). p. 147 The G20 Financial Stability Board‚Äôs Task Force on Climate-Related Financial Disclosure provides a uniform framework that companies can voluntarily use to report their climate-related risks and opportunities and disclose the correspond-ing information to investors, lenders, insurers, and other stakeholders. This Annex provides an overview of Siemens‚Äô activities based on these recommendations and offers refer-ences to other sources of relevant information. p. 149-156, several links to the data the company reported through CDP. Aureliane[https://wikirate.org/Aureliane].....2025-08-29 11:5...</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https://wikirate.org/~21495929</v>
      </c>
      <c r="H14" s="14" t="str">
        <f ca="1">VLOOKUP($A14&amp;$B$1,'Export 3 Oct'!$B$6:$K$851,10, FALSE)</f>
        <v>p. 118-135 Lucia Ixtacuy[https://wikirate.org/Lucia_Ixtacuy].....2025-08-08 16:07:40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https://wikirate.org/~21495929</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https://wikirate.org/~21495929</v>
      </c>
      <c r="H16" s="14"/>
      <c r="I16" s="12"/>
    </row>
    <row r="17" spans="1:9">
      <c r="A17" s="15" t="s">
        <v>1512</v>
      </c>
      <c r="B17" s="16"/>
      <c r="C17" s="17"/>
      <c r="D17" s="16"/>
      <c r="E17" s="17"/>
      <c r="F17" s="17"/>
      <c r="G17" s="17"/>
      <c r="H17" s="16"/>
      <c r="I17" s="12"/>
    </row>
    <row r="18" spans="1:9" ht="176">
      <c r="A18" s="13" t="s">
        <v>1195</v>
      </c>
      <c r="B18" s="14" t="s">
        <v>1508</v>
      </c>
      <c r="C18" s="12" t="s">
        <v>1523</v>
      </c>
      <c r="D18" s="14" t="str">
        <f ca="1">VLOOKUP($A18&amp;$B$1,'Export 3 Oct'!$B$6:$K$851,5, FALSE)</f>
        <v>Yes</v>
      </c>
      <c r="E18" s="12" t="s">
        <v>1515</v>
      </c>
      <c r="F18" s="12"/>
      <c r="G18" s="12" t="str">
        <f ca="1">VLOOKUP($A18&amp;$B$1,'Export 3 Oct'!$B$6:$K$851,6, FALSE)</f>
        <v>https://wikirate.org/~21495929</v>
      </c>
      <c r="H18" s="14" t="str">
        <f ca="1">VLOOKUP($A18&amp;$B$1,'Export 3 Oct'!$B$6:$K$851,10, FALSE)</f>
        <v>p. 21-22 "In 2024, we prepared in parallel a double materiality assessment in preparation for the Corporate Sustainability Reporting Directive (CSRD; Directive (EU) 2022/2464) and the related European Sustainability Reporting Standards (ESRS) in order to define the scope of sustainability reporting based on material sustainability topics to be disclosed as part of the CSRD Sustainability Statement beginning in fiscal 2025. ...." Lucia Ixtacuy[https://wikirate.org/Lucia_Ixtacuy].....2025-08-07 13:20:34 UTC The company conducted the double materiality assessment, but it is not clear how they used it to report in FY 2024. The material topics they mention seem to apply to GRI, which has a different definition of materiality. Aureliane[https://wikirate.org/Aureliane].....2025-08-29 12:25:03 UTC While they did not yet fully use the ESRS's double materiality assessment methodology, they did conduct a double materiality assessment seeing they assessed both the inside out and outside in perspectives. see page 21 an...</v>
      </c>
      <c r="I18" s="12"/>
    </row>
    <row r="19" spans="1:9" ht="64">
      <c r="A19" s="13" t="s">
        <v>1280</v>
      </c>
      <c r="B19" s="14" t="s">
        <v>1509</v>
      </c>
      <c r="C19" s="12" t="s">
        <v>1523</v>
      </c>
      <c r="D19" s="14" t="str">
        <f ca="1">VLOOKUP($A19&amp;$B$1,'Export 3 Oct'!$B$6:$K$851,5, FALSE)</f>
        <v>No</v>
      </c>
      <c r="E19" s="12" t="s">
        <v>1515</v>
      </c>
      <c r="F19" s="12"/>
      <c r="G19" s="12" t="str">
        <f ca="1">VLOOKUP($A19&amp;$B$1,'Export 3 Oct'!$B$6:$K$851,6, FALSE)</f>
        <v>https://wikirate.org/~21495929</v>
      </c>
      <c r="H19" s="14" t="str">
        <f ca="1">VLOOKUP($A19&amp;$B$1,'Export 3 Oct'!$B$6:$K$851,10, FALSE)</f>
        <v>There is no mention of lobbying budget in the Sustainability Report 2024. Lucia Ixtacuy[https://wikirate.org/Lucia_Ixtacuy].....2025-08-07 13:14:06 UTC p.27-30 provide details of their political involvement, including membership in trade associations and partnerships. Aureliane[https://wikirate.org/Aureliane].....2025-08-29 12:28:12 UTC</v>
      </c>
      <c r="I19" s="12"/>
    </row>
    <row r="20" spans="1:9" ht="80">
      <c r="A20" s="13" t="s">
        <v>814</v>
      </c>
      <c r="B20" s="14" t="s">
        <v>1510</v>
      </c>
      <c r="C20" s="14" t="s">
        <v>1524</v>
      </c>
      <c r="D20" s="14" t="str">
        <f ca="1">VLOOKUP($A20&amp;$B$1,'Export 3 Oct'!$B$6:$K$851,5, FALSE)</f>
        <v>Limited assurance</v>
      </c>
      <c r="E20" s="12" t="s">
        <v>1515</v>
      </c>
      <c r="F20" s="12"/>
      <c r="G20" s="12" t="str">
        <f ca="1">VLOOKUP($A20&amp;$B$1,'Export 3 Oct'!$B$6:$K$851,6, FALSE)</f>
        <v>https://wikirate.org/~21495929</v>
      </c>
      <c r="H20" s="14" t="str">
        <f ca="1">VLOOKUP($A20&amp;$B$1,'Export 3 Oct'!$B$6:$K$851,10, FALSE)</f>
        <v>"We have performed a limited assurance engagement on the disclosures in the sustainability report in chapter 1 to 7.2 of the ‚ÄúSustainability report 2024‚Äù of Siemens Aktiengesellschaft, Berlin and Munich, (hereinafter ‚Äúthe Company‚Äù), for the period from 1 October 2023 to 30 September 2024 (hereinafter the ‚ÄúReport‚Äù)." Lucia Ixtacuy[https://wikirate.org/Lucia_Ixtacuy].....2025-08-08 16:11:09 UTC</v>
      </c>
      <c r="I20" s="12"/>
    </row>
    <row r="21" spans="1:9" ht="64">
      <c r="A21" s="13" t="s">
        <v>13</v>
      </c>
      <c r="B21" s="14" t="s">
        <v>1511</v>
      </c>
      <c r="C21" s="12" t="s">
        <v>1523</v>
      </c>
      <c r="D21" s="14" t="str">
        <f ca="1">VLOOKUP($A21&amp;$B$1,'Export 3 Oct'!$B$6:$K$851,5, FALSE)</f>
        <v>Yes</v>
      </c>
      <c r="E21" s="12" t="s">
        <v>1515</v>
      </c>
      <c r="F21" s="12"/>
      <c r="G21" s="12" t="str">
        <f ca="1">VLOOKUP($A21&amp;$B$1,'Export 3 Oct'!$B$6:$K$851,6, FALSE)</f>
        <v>https://wikirate.org/~21495929</v>
      </c>
      <c r="H21" s="14" t="str">
        <f ca="1">VLOOKUP($A21&amp;$B$1,'Export 3 Oct'!$B$6:$K$851,10, FALSE)</f>
        <v>p. 37 "Both business partners and suppliers are required to sign a code of conduct. In addition, depending on their risk classification, audits can be conducted on the business partners‚Äô premises by the Siemens audit function or external service providers. " Lucia Ixtacuy[https://wikirate.org/Lucia_Ixtacuy].....2025-08-08 16:13:47 UTC</v>
      </c>
      <c r="I21" s="12"/>
    </row>
    <row r="26" spans="1:9">
      <c r="A26" s="39" t="s">
        <v>1634</v>
      </c>
    </row>
    <row r="27" spans="1:9">
      <c r="A27" s="38" t="s">
        <v>1630</v>
      </c>
      <c r="B27" s="40">
        <f>AVERAGE($E$5,$E$6,$E$7)</f>
        <v>8</v>
      </c>
    </row>
    <row r="28" spans="1:9">
      <c r="A28" s="38" t="s">
        <v>1631</v>
      </c>
      <c r="B28" s="40">
        <f>AVERAGE($E$8,$E$9)</f>
        <v>7.5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DE9FB-0FEB-0943-A11F-70FB38091954}">
  <sheetPr codeName="Sheet45"/>
  <dimension ref="A1:I30"/>
  <sheetViews>
    <sheetView topLeftCell="A15"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Siemens Energy AG</v>
      </c>
    </row>
    <row r="2" spans="1:9" ht="23">
      <c r="A2" s="8" t="s">
        <v>1616</v>
      </c>
      <c r="B2" s="18">
        <f>SUM(E5:E16)/12</f>
        <v>3.6666666666666665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https://wikirate.org/~22219257</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https://wikirate.org/~21496678</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https://wikirate.org/~22219257</v>
      </c>
      <c r="H7" s="14"/>
      <c r="I7" s="12"/>
    </row>
    <row r="8" spans="1:9" ht="32">
      <c r="A8" s="13" t="s">
        <v>629</v>
      </c>
      <c r="B8" s="14" t="s">
        <v>1499</v>
      </c>
      <c r="C8" s="14" t="s">
        <v>1517</v>
      </c>
      <c r="D8" s="14" t="str">
        <f ca="1">VLOOKUP($A8&amp;$B$1,'Export 3 Oct'!$B$6:$K$851,5, FALSE)</f>
        <v>No</v>
      </c>
      <c r="E8" s="12">
        <v>0</v>
      </c>
      <c r="F8" s="12"/>
      <c r="G8" s="12" t="str">
        <f ca="1">VLOOKUP($A8&amp;$B$1,'Export 3 Oct'!$B$6:$K$851,6, FALSE)</f>
        <v>https://wikirate.org/~21496678</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https://wikirate.org/~22245997</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https://wikirate.org/~21496678</v>
      </c>
      <c r="H10" s="14" t="str">
        <f ca="1">VLOOKUP($A10&amp;$B$1,'Export 3 Oct'!$B$6:$K$851,10, FALSE)</f>
        <v>p. 92, under the section "Notes to consolidated financial statement", I found the HRB number. However, it doesn't explicitly apply to their non-financial statement. The accompanying Consolidated Financial Statements as ofSeptember30,2024,present the operations of SiemensEnergyAGwith registered office atOtto-Hahn-Ring 6, 81739 Munich, Germany(registry number HRB 252581, local court Munich),and its subsidiaries(‚ÄòSiemensEnergy,‚Äô ‚Äòthe Group,‚Äô ‚Äòthe Company,‚Äô or ‚Äòwe‚Äô) Aureliane[https://wikirate.org/Aureliane].....2025-09-01 10:32:42 UTC "This Group non-financial statement of the SiemensEnergyGroup (SiemensEnergyor the Group) has been prepared in accordance with Section315 b to 315c German Commercial Code in conjunction with Section289 c to 289e German Commercial Code and the specifying reporting requirements of GAS20 (German Accounting Standard; ‚ÄúDeutscher Rechnungslegungs Standard‚Äù). " p. 49 In combination with this statement it seems that the HRB number is for Siemens Energy AG, while the non-financial stateme...</v>
      </c>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https://wikirate.org/~21496678</v>
      </c>
      <c r="H11" s="14" t="str">
        <f ca="1">VLOOKUP($A11&amp;$B$1,'Export 3 Oct'!$B$6:$K$851,10, FALSE)</f>
        <v>P7: "This Annual Report contains the Consolidated Financial Statements and the Combined Management Report of Siemens Energy AG and its subsidiaries (‚ÄòSiemens Energy‚Äô, ‚Äòthe Group‚Äô, ‚Äòthe Company‚Äô, or ‚Äòwe‚Äô) for the year ended 30. September 2024" Marc McGowan[https://wikirate.org/Marc_McGowan].....2025-08-19 07:40:57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https://wikirate.org/~21496678</v>
      </c>
      <c r="H12" s="14"/>
      <c r="I12" s="12"/>
    </row>
    <row r="13" spans="1:9" ht="208">
      <c r="A13" s="13" t="s">
        <v>1044</v>
      </c>
      <c r="B13" s="14" t="s">
        <v>1504</v>
      </c>
      <c r="C13" s="14" t="s">
        <v>1520</v>
      </c>
      <c r="D13" s="14" t="str">
        <f ca="1">VLOOKUP($A13&amp;$B$1,'Export 3 Oct'!$B$6:$K$851,5, FALSE)</f>
        <v>None</v>
      </c>
      <c r="E13" s="12">
        <v>0</v>
      </c>
      <c r="F13" s="12"/>
      <c r="G13" s="12" t="str">
        <f ca="1">VLOOKUP($A13&amp;$B$1,'Export 3 Oct'!$B$6:$K$851,6, FALSE)</f>
        <v>https://wikirate.org/~21496678</v>
      </c>
      <c r="H13" s="14"/>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https://wikirate.org/~21496678</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https://wikirate.org/~21496678</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https://wikirate.org/~21496678</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https://wikirate.org/~21496678</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https://wikirate.org/~21496678</v>
      </c>
      <c r="H19" s="14"/>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https://wikirate.org/~21496678</v>
      </c>
      <c r="H20" s="14" t="str">
        <f ca="1">VLOOKUP($A20&amp;$B$1,'Export 3 Oct'!$B$6:$K$851,10, FALSE)</f>
        <v>P49: "This Group non-financial statement is subject to a voluntary limited assurance engagement" Marc McGowan[https://wikirate.org/Marc_McGowan].....2025-08-19 07:51:00 UTC</v>
      </c>
      <c r="I20" s="12"/>
    </row>
    <row r="21" spans="1:9">
      <c r="A21" s="13" t="s">
        <v>13</v>
      </c>
      <c r="B21" s="14" t="s">
        <v>1511</v>
      </c>
      <c r="C21" s="12" t="s">
        <v>1523</v>
      </c>
      <c r="D21" s="14" t="str">
        <f ca="1">VLOOKUP($A21&amp;$B$1,'Export 3 Oct'!$B$6:$K$851,5, FALSE)</f>
        <v>No</v>
      </c>
      <c r="E21" s="12" t="s">
        <v>1515</v>
      </c>
      <c r="F21" s="12"/>
      <c r="G21" s="12" t="str">
        <f ca="1">VLOOKUP($A21&amp;$B$1,'Export 3 Oct'!$B$6:$K$851,6, FALSE)</f>
        <v>https://wikirate.org/~21496678</v>
      </c>
      <c r="H21" s="14"/>
      <c r="I21" s="12"/>
    </row>
    <row r="26" spans="1:9">
      <c r="A26" s="39" t="s">
        <v>1634</v>
      </c>
    </row>
    <row r="27" spans="1:9">
      <c r="A27" s="38" t="s">
        <v>1630</v>
      </c>
      <c r="B27" s="40">
        <f>AVERAGE($E$5,$E$6,$E$7)</f>
        <v>6.333333333333333</v>
      </c>
    </row>
    <row r="28" spans="1:9">
      <c r="A28" s="38" t="s">
        <v>1631</v>
      </c>
      <c r="B28" s="40">
        <f>AVERAGE($E$8,$E$9)</f>
        <v>2.5</v>
      </c>
    </row>
    <row r="29" spans="1:9">
      <c r="A29" s="38" t="s">
        <v>1632</v>
      </c>
      <c r="B29" s="40">
        <f>AVERAGE($E$10,$E$11,$E$12,$E$13,$E$14)</f>
        <v>4</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D5F5B-571D-3C49-915F-E26C6016029A}">
  <sheetPr codeName="Sheet46"/>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Stadtwerke Munchen GmbH</v>
      </c>
    </row>
    <row r="2" spans="1:9" ht="23">
      <c r="A2" s="8" t="s">
        <v>1616</v>
      </c>
      <c r="B2" s="18">
        <f>SUM(E5:E16)/12</f>
        <v>4.083333333333333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https://wikirate.org/~22219175</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https://wikirate.org/~22246336</v>
      </c>
      <c r="H6" s="14" t="str">
        <f ca="1">VLOOKUP($A6&amp;$B$1,'Export 3 Oct'!$B$6:$K$851,10, FALSE)</f>
        <v>It should be noted that while you can do text based searches, it is not possible to extract information from the document with copy/paste. Laureen van Breen[https://wikirate.org/Laureen_van_Breen].....2025-08-19 12:44:45 UTC I am able to copy paste information from the report Lucia Ixtacuy[https://wikirate.org/Lucia_Ixtacuy].....2025-09-11 16:43:43 UTC</v>
      </c>
      <c r="I6" s="12"/>
    </row>
    <row r="7" spans="1:9" ht="32">
      <c r="A7" s="13" t="s">
        <v>901</v>
      </c>
      <c r="B7" s="14" t="s">
        <v>1498</v>
      </c>
      <c r="C7" s="14" t="s">
        <v>1517</v>
      </c>
      <c r="D7" s="14" t="str">
        <f ca="1">VLOOKUP($A7&amp;$B$1,'Export 3 Oct'!$B$6:$K$851,5, FALSE)</f>
        <v>No</v>
      </c>
      <c r="E7" s="12">
        <v>0</v>
      </c>
      <c r="F7" s="12"/>
      <c r="G7" s="12" t="str">
        <f ca="1">VLOOKUP($A7&amp;$B$1,'Export 3 Oct'!$B$6:$K$851,6, FALSE)</f>
        <v>https://wikirate.org/~22219175</v>
      </c>
      <c r="H7" s="14" t="str">
        <f ca="1">VLOOKUP($A7&amp;$B$1,'Export 3 Oct'!$B$6:$K$851,10, FALSE)</f>
        <v>Only current reports Laureen van Breen[https://wikirate.org/Laureen_van_Breen].....2025-08-19 12:06:07 UTC</v>
      </c>
      <c r="I7" s="12"/>
    </row>
    <row r="8" spans="1:9" ht="48">
      <c r="A8" s="13" t="s">
        <v>629</v>
      </c>
      <c r="B8" s="14" t="s">
        <v>1499</v>
      </c>
      <c r="C8" s="14" t="s">
        <v>1517</v>
      </c>
      <c r="D8" s="14" t="str">
        <f ca="1">VLOOKUP($A8&amp;$B$1,'Export 3 Oct'!$B$6:$K$851,5, FALSE)</f>
        <v>Yes</v>
      </c>
      <c r="E8" s="12">
        <v>10</v>
      </c>
      <c r="F8" s="12"/>
      <c r="G8" s="12" t="str">
        <f ca="1">VLOOKUP($A8&amp;$B$1,'Export 3 Oct'!$B$6:$K$851,6, FALSE)</f>
        <v>https://wikirate.org/~22246336</v>
      </c>
      <c r="H8" s="14" t="str">
        <f ca="1">VLOOKUP($A8&amp;$B$1,'Export 3 Oct'!$B$6:$K$851,10, FALSE)</f>
        <v>One direct link to the Code of Conduct p. 65 and a direct link to their data protection notice on p. 73 But it should be noted that there is no direct links to any policies.. Laureen van Breen[https://wikirate.org/Laureen_van_Breen].....2025-08-19 12:13:15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https://wikirate.org/~22246358</v>
      </c>
      <c r="H9" s="14" t="str">
        <f ca="1">VLOOKUP($A9&amp;$B$1,'Export 3 Oct'!$B$6:$K$851,10, FALSE)</f>
        <v>Link to code of conduct as well as human rights policy and a few other documents. It is not clear if they is an exhaustive list. Laureen van Breen[https://wikirate.org/Laureen_van_Breen].....2025-08-19 12:20:22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https://wikirate.org/~22246336</v>
      </c>
      <c r="H10" s="14"/>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https://wikirate.org/~22246336</v>
      </c>
      <c r="H11" s="14" t="str">
        <f ca="1">VLOOKUP($A11&amp;$B$1,'Export 3 Oct'!$B$6:$K$851,10, FALSE)</f>
        <v>p. 74 Laureen van Breen[https://wikirate.org/Laureen_van_Breen].....2025-08-19 12:24:55 UTC "About this Report" Section "The reporting period matches the financial year, which ran from 1 January 2024 to 31 December 2024." Lucia Ixtacuy[https://wikirate.org/Lucia_Ixtacuy].....2025-09-11 16:44:46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https://wikirate.org/~22246336</v>
      </c>
      <c r="H12" s="14"/>
      <c r="I12" s="12"/>
    </row>
    <row r="13" spans="1:9" ht="208">
      <c r="A13" s="13" t="s">
        <v>1044</v>
      </c>
      <c r="B13" s="14" t="s">
        <v>1504</v>
      </c>
      <c r="C13" s="14" t="s">
        <v>1520</v>
      </c>
      <c r="D13" s="14" t="str">
        <f ca="1">VLOOKUP($A13&amp;$B$1,'Export 3 Oct'!$B$6:$K$851,5, FALSE)</f>
        <v>GRI Standards, Greenhouse Gas Protocol</v>
      </c>
      <c r="E13" s="12">
        <v>10</v>
      </c>
      <c r="F13" s="12"/>
      <c r="G13" s="12" t="str">
        <f ca="1">VLOOKUP($A13&amp;$B$1,'Export 3 Oct'!$B$6:$K$851,6, FALSE)</f>
        <v>https://wikirate.org/~22246336</v>
      </c>
      <c r="H13" s="14" t="str">
        <f ca="1">VLOOKUP($A13&amp;$B$1,'Export 3 Oct'!$B$6:$K$851,10, FALSE)</f>
        <v>GRI has been used to prepare the report (p. 74-75) Greenhouse Gas Protocol (p. 37) ESRS in future (p. 14) Laureen van Breen[https://wikirate.org/Laureen_van_Breen].....2025-08-19 12:30:12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https://wikirate.org/~22246336</v>
      </c>
      <c r="H14" s="14" t="str">
        <f ca="1">VLOOKUP($A14&amp;$B$1,'Export 3 Oct'!$B$6:$K$851,10, FALSE)</f>
        <v>p. 77 - 83 Laureen van Breen[https://wikirate.org/Laureen_van_Breen].....2025-08-19 12:31:58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https://wikirate.org/~22246336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https://wikirate.org/~22246336</v>
      </c>
      <c r="H16" s="14"/>
      <c r="I16" s="12"/>
    </row>
    <row r="17" spans="1:9">
      <c r="A17" s="15" t="s">
        <v>1512</v>
      </c>
      <c r="B17" s="16"/>
      <c r="C17" s="17"/>
      <c r="D17" s="16"/>
      <c r="E17" s="17"/>
      <c r="F17" s="17"/>
      <c r="G17" s="17"/>
      <c r="H17" s="16"/>
      <c r="I17" s="12"/>
    </row>
    <row r="18" spans="1:9" ht="128">
      <c r="A18" s="13" t="s">
        <v>1195</v>
      </c>
      <c r="B18" s="14" t="s">
        <v>1508</v>
      </c>
      <c r="C18" s="12" t="s">
        <v>1523</v>
      </c>
      <c r="D18" s="14" t="str">
        <f ca="1">VLOOKUP($A18&amp;$B$1,'Export 3 Oct'!$B$6:$K$851,5, FALSE)</f>
        <v>No</v>
      </c>
      <c r="E18" s="12" t="s">
        <v>1515</v>
      </c>
      <c r="F18" s="12"/>
      <c r="G18" s="12" t="str">
        <f ca="1">VLOOKUP($A18&amp;$B$1,'Export 3 Oct'!$B$6:$K$851,6, FALSE)</f>
        <v>https://wikirate.org/~22246336</v>
      </c>
      <c r="H18" s="14" t="str">
        <f ca="1">VLOOKUP($A18&amp;$B$1,'Export 3 Oct'!$B$6:$K$851,10, FALSE)</f>
        <v>The company states it has done a DMA for the preparation of its supply chain sustainability strategy in 2023 but does not state doing one to determine what they should be reporting on (p. 70) Laureen van Breen[https://wikirate.org/Laureen_van_Breen].....2025-08-19 12:36:40 UTC p. 70 ""In line with the SWM Group‚Äôs sustainability strategy, Central Purchasing performed a double materiality analysis for the preparation of a supply chain sustainability strategy in 2023. The following key action areas were identified: climate protection, circular economy as well as working conditions and human rights in the supply chain. In 2024, targets, policies, measures, and KPIs were allocated to the respective action area" Lucia Ixtacuy[https://wikirate.org/Lucia_Ixtacuy].....2025-09-12 11:07:05 UTC</v>
      </c>
      <c r="I18" s="12"/>
    </row>
    <row r="19" spans="1:9" ht="80">
      <c r="A19" s="13" t="s">
        <v>1280</v>
      </c>
      <c r="B19" s="14" t="s">
        <v>1509</v>
      </c>
      <c r="C19" s="12" t="s">
        <v>1523</v>
      </c>
      <c r="D19" s="14" t="str">
        <f ca="1">VLOOKUP($A19&amp;$B$1,'Export 3 Oct'!$B$6:$K$851,5, FALSE)</f>
        <v>No</v>
      </c>
      <c r="E19" s="12" t="s">
        <v>1515</v>
      </c>
      <c r="F19" s="12"/>
      <c r="G19" s="12" t="str">
        <f ca="1">VLOOKUP($A19&amp;$B$1,'Export 3 Oct'!$B$6:$K$851,6, FALSE)</f>
        <v>https://wikirate.org/~22246336</v>
      </c>
      <c r="H19" s="14" t="str">
        <f ca="1">VLOOKUP($A19&amp;$B$1,'Export 3 Oct'!$B$6:$K$851,10, FALSE)</f>
        <v>p. 72 Laureen van Breen[https://wikirate.org/Laureen_van_Breen].....2025-08-19 12:38:47 UTC "We publish statements on particularly important issues or decisions. SWM is registered in the respective transparency/lobby registers under the following numbers: Lobby Register Number (Bavaria): DEBYLT0164 Lobby Register Number (national): R000611 Transparency Register Number (Brussels): 17284292859-45" Lucia Ixtacuy[https://wikirate.org/Lucia_Ixtacuy].....2025-09-12 11:10:49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https://wikirate.org/~22246336</v>
      </c>
      <c r="H20" s="14" t="str">
        <f ca="1">VLOOKUP($A20&amp;$B$1,'Export 3 Oct'!$B$6:$K$851,10, FALSE)</f>
        <v>p. 77 Laureen van Breen[https://wikirate.org/Laureen_van_Breen].....2025-08-19 12:39:26 UTC "No external review has been performed." Lucia Ixtacuy[https://wikirate.org/Lucia_Ixtacuy].....2025-09-12 11:03:29 UTC</v>
      </c>
      <c r="I20" s="12"/>
    </row>
    <row r="21" spans="1:9">
      <c r="A21" s="13" t="s">
        <v>13</v>
      </c>
      <c r="B21" s="14" t="s">
        <v>1511</v>
      </c>
      <c r="C21" s="12" t="s">
        <v>1523</v>
      </c>
      <c r="D21" s="14" t="str">
        <f ca="1">VLOOKUP($A21&amp;$B$1,'Export 3 Oct'!$B$6:$K$851,5, FALSE)</f>
        <v>Yes</v>
      </c>
      <c r="E21" s="12" t="s">
        <v>1515</v>
      </c>
      <c r="F21" s="12"/>
      <c r="G21" s="12" t="str">
        <f ca="1">VLOOKUP($A21&amp;$B$1,'Export 3 Oct'!$B$6:$K$851,6, FALSE)</f>
        <v>https://wikirate.org/~22246336</v>
      </c>
      <c r="H21" s="14" t="str">
        <f ca="1">VLOOKUP($A21&amp;$B$1,'Export 3 Oct'!$B$6:$K$851,10, FALSE)</f>
        <v>p. 15 Laureen van Breen[https://wikirate.org/Laureen_van_Breen].....2025-08-19 12:40:48 UTC</v>
      </c>
      <c r="I21" s="12"/>
    </row>
    <row r="26" spans="1:9">
      <c r="A26" s="39" t="s">
        <v>1634</v>
      </c>
    </row>
    <row r="27" spans="1:9">
      <c r="A27" s="38" t="s">
        <v>1630</v>
      </c>
      <c r="B27" s="40">
        <f>AVERAGE($E$5,$E$6,$E$7)</f>
        <v>3</v>
      </c>
    </row>
    <row r="28" spans="1:9">
      <c r="A28" s="38" t="s">
        <v>1631</v>
      </c>
      <c r="B28" s="40">
        <f>AVERAGE($E$8,$E$9)</f>
        <v>7.5</v>
      </c>
    </row>
    <row r="29" spans="1:9">
      <c r="A29" s="38" t="s">
        <v>1632</v>
      </c>
      <c r="B29" s="40">
        <f>AVERAGE($E$10,$E$11,$E$12,$E$13,$E$14)</f>
        <v>5</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F4C85-33E9-1242-8206-595DBFAEC2EB}">
  <dimension ref="A1:V57"/>
  <sheetViews>
    <sheetView topLeftCell="H27" workbookViewId="0">
      <selection activeCell="V52" sqref="V52:V57"/>
    </sheetView>
  </sheetViews>
  <sheetFormatPr baseColWidth="10" defaultRowHeight="16"/>
  <cols>
    <col min="1" max="1" width="31" bestFit="1" customWidth="1"/>
    <col min="2" max="2" width="20.5" bestFit="1" customWidth="1"/>
    <col min="3" max="3" width="5.83203125" bestFit="1" customWidth="1"/>
    <col min="5" max="5" width="32" bestFit="1" customWidth="1"/>
    <col min="6" max="6" width="8.1640625" customWidth="1"/>
    <col min="8" max="8" width="32" bestFit="1" customWidth="1"/>
    <col min="9" max="9" width="20.83203125" customWidth="1"/>
    <col min="10" max="10" width="7.33203125" bestFit="1" customWidth="1"/>
    <col min="12" max="12" width="33.5" bestFit="1" customWidth="1"/>
    <col min="13" max="13" width="20.5" bestFit="1" customWidth="1"/>
    <col min="14" max="14" width="5.83203125" bestFit="1" customWidth="1"/>
    <col min="16" max="16" width="26" bestFit="1" customWidth="1"/>
    <col min="17" max="17" width="20.5" bestFit="1" customWidth="1"/>
    <col min="18" max="18" width="5.83203125" bestFit="1" customWidth="1"/>
    <col min="20" max="20" width="30" bestFit="1" customWidth="1"/>
    <col min="21" max="21" width="20.5" bestFit="1" customWidth="1"/>
    <col min="22" max="22" width="10" customWidth="1"/>
  </cols>
  <sheetData>
    <row r="1" spans="1:22">
      <c r="A1" s="23" t="s">
        <v>1485</v>
      </c>
      <c r="B1" s="23" t="s">
        <v>1619</v>
      </c>
      <c r="C1" s="23" t="s">
        <v>1620</v>
      </c>
      <c r="E1" s="33" t="s">
        <v>1635</v>
      </c>
      <c r="F1" s="34"/>
      <c r="H1" s="35" t="s">
        <v>1630</v>
      </c>
      <c r="I1" s="35" t="s">
        <v>1628</v>
      </c>
      <c r="J1" s="35" t="s">
        <v>1620</v>
      </c>
      <c r="L1" s="35" t="s">
        <v>1631</v>
      </c>
      <c r="M1" s="35" t="s">
        <v>1628</v>
      </c>
      <c r="N1" s="35" t="s">
        <v>1620</v>
      </c>
      <c r="P1" s="35" t="s">
        <v>1632</v>
      </c>
      <c r="Q1" s="35" t="s">
        <v>1628</v>
      </c>
      <c r="R1" s="35" t="s">
        <v>1620</v>
      </c>
      <c r="T1" s="35" t="s">
        <v>1633</v>
      </c>
      <c r="U1" s="35" t="s">
        <v>1628</v>
      </c>
      <c r="V1" s="35" t="s">
        <v>1620</v>
      </c>
    </row>
    <row r="2" spans="1:22" ht="15" customHeight="1">
      <c r="A2" s="1" t="s">
        <v>68</v>
      </c>
      <c r="B2" t="str">
        <f>VLOOKUP(A2,Sectors!$A$2:$B$51,2, FALSE)</f>
        <v>Electrical</v>
      </c>
      <c r="C2" s="24">
        <f>'50Hertz Transmission'!$B$2</f>
        <v>3.25</v>
      </c>
      <c r="E2" t="s">
        <v>1621</v>
      </c>
      <c r="F2" s="24">
        <f>AVERAGE(C2:C51)</f>
        <v>4.91</v>
      </c>
      <c r="H2" s="1" t="s">
        <v>42</v>
      </c>
      <c r="I2" s="1" t="str">
        <f t="shared" ref="I2:I33" si="0">VLOOKUP(H2,$A$1:$B$51,2, FALSE)</f>
        <v>Military and defense</v>
      </c>
      <c r="J2" s="24" cm="1">
        <f t="array" aca="1" ref="J2" ca="1">INDIRECT("'"&amp;H2&amp;"'!$B$27")</f>
        <v>0</v>
      </c>
      <c r="L2" s="1" t="s">
        <v>87</v>
      </c>
      <c r="M2" s="1" t="str">
        <f>VLOOKUP(L2,$A$1:$B$51,2, FALSE)</f>
        <v>Chemical</v>
      </c>
      <c r="N2" s="24" cm="1">
        <f t="array" aca="1" ref="N2" ca="1">INDIRECT("'"&amp;L2&amp;"'!$B$28")</f>
        <v>0</v>
      </c>
      <c r="P2" s="1" t="s">
        <v>182</v>
      </c>
      <c r="Q2" s="1" t="str">
        <f t="shared" ref="Q2:Q33" si="1">VLOOKUP(P2,$A$1:$B$51,2, FALSE)</f>
        <v>Electrical</v>
      </c>
      <c r="R2" s="24" cm="1">
        <f t="array" aca="1" ref="R2" ca="1">INDIRECT("'"&amp;P2&amp;"'!$B$29")</f>
        <v>0</v>
      </c>
      <c r="T2" s="1" t="s">
        <v>68</v>
      </c>
      <c r="U2" s="1" t="str">
        <f>VLOOKUP(T2,$A$1:$B$51,2, FALSE)</f>
        <v>Electrical</v>
      </c>
      <c r="V2" s="37" cm="1">
        <f t="array" aca="1" ref="V2" ca="1">INDIRECT("'"&amp;T2&amp;"'!$B$30")</f>
        <v>0</v>
      </c>
    </row>
    <row r="3" spans="1:22">
      <c r="A3" s="1" t="s">
        <v>74</v>
      </c>
      <c r="B3" t="str">
        <f>VLOOKUP(A3,Sectors!$A$2:$B$51,2, FALSE)</f>
        <v>Military and defense</v>
      </c>
      <c r="C3" s="24">
        <f>'Airbus Group'!$B$2</f>
        <v>5.333333333333333</v>
      </c>
      <c r="E3" s="38" t="s">
        <v>1630</v>
      </c>
      <c r="F3" s="41">
        <f ca="1">J52</f>
        <v>6.2733333333333325</v>
      </c>
      <c r="H3" s="1" t="s">
        <v>68</v>
      </c>
      <c r="I3" s="1" t="str">
        <f t="shared" si="0"/>
        <v>Electrical</v>
      </c>
      <c r="J3" s="24" cm="1">
        <f t="array" aca="1" ref="J3" ca="1">INDIRECT("'"&amp;H3&amp;"'!$B$27")</f>
        <v>1.3333333333333333</v>
      </c>
      <c r="L3" s="1" t="s">
        <v>53</v>
      </c>
      <c r="M3" s="1" t="str">
        <f t="shared" ref="M3:M51" si="2">VLOOKUP(L3,$A$1:$B$51,2, FALSE)</f>
        <v>Military and defense</v>
      </c>
      <c r="N3" s="24" cm="1">
        <f t="array" aca="1" ref="N3" ca="1">INDIRECT("'"&amp;L3&amp;"'!$B$28")</f>
        <v>0</v>
      </c>
      <c r="P3" s="1" t="s">
        <v>42</v>
      </c>
      <c r="Q3" s="1" t="str">
        <f t="shared" si="1"/>
        <v>Military and defense</v>
      </c>
      <c r="R3" s="24" cm="1">
        <f t="array" aca="1" ref="R3" ca="1">INDIRECT("'"&amp;P3&amp;"'!$B$29")</f>
        <v>0</v>
      </c>
      <c r="T3" s="1" t="s">
        <v>74</v>
      </c>
      <c r="U3" s="1" t="str">
        <f t="shared" ref="U3:U51" si="3">VLOOKUP(T3,$A$1:$B$51,2, FALSE)</f>
        <v>Military and defense</v>
      </c>
      <c r="V3" s="37" cm="1">
        <f t="array" aca="1" ref="V3" ca="1">INDIRECT("'"&amp;T3&amp;"'!$B$30")</f>
        <v>0</v>
      </c>
    </row>
    <row r="4" spans="1:22">
      <c r="A4" s="1" t="s">
        <v>182</v>
      </c>
      <c r="B4" t="str">
        <f>VLOOKUP(A4,Sectors!$A$2:$B$51,2, FALSE)</f>
        <v>Electrical</v>
      </c>
      <c r="C4" s="24">
        <f>'Amprion GmbH'!$B$2</f>
        <v>2.4166666666666665</v>
      </c>
      <c r="E4" s="38" t="s">
        <v>1631</v>
      </c>
      <c r="F4" s="41">
        <f ca="1">N52</f>
        <v>3.55</v>
      </c>
      <c r="H4" s="1" t="s">
        <v>53</v>
      </c>
      <c r="I4" s="1" t="str">
        <f t="shared" si="0"/>
        <v>Military and defense</v>
      </c>
      <c r="J4" s="24" cm="1">
        <f t="array" aca="1" ref="J4" ca="1">INDIRECT("'"&amp;H4&amp;"'!$B$27")</f>
        <v>3</v>
      </c>
      <c r="L4" s="1" t="s">
        <v>29</v>
      </c>
      <c r="M4" s="1" t="str">
        <f t="shared" si="2"/>
        <v>Electrical</v>
      </c>
      <c r="N4" s="24" cm="1">
        <f t="array" aca="1" ref="N4" ca="1">INDIRECT("'"&amp;L4&amp;"'!$B$28")</f>
        <v>0</v>
      </c>
      <c r="P4" s="1" t="s">
        <v>201</v>
      </c>
      <c r="Q4" s="1" t="str">
        <f t="shared" si="1"/>
        <v>Chemical</v>
      </c>
      <c r="R4" s="24" cm="1">
        <f t="array" aca="1" ref="R4" ca="1">INDIRECT("'"&amp;P4&amp;"'!$B$29")</f>
        <v>2</v>
      </c>
      <c r="T4" s="1" t="s">
        <v>182</v>
      </c>
      <c r="U4" s="1" t="str">
        <f t="shared" si="3"/>
        <v>Electrical</v>
      </c>
      <c r="V4" s="37" cm="1">
        <f t="array" aca="1" ref="V4" ca="1">INDIRECT("'"&amp;T4&amp;"'!$B$30")</f>
        <v>0</v>
      </c>
    </row>
    <row r="5" spans="1:22">
      <c r="A5" s="1" t="s">
        <v>108</v>
      </c>
      <c r="B5" t="str">
        <f>VLOOKUP(A5,Sectors!$A$2:$B$51,2, FALSE)</f>
        <v>Chemical</v>
      </c>
      <c r="C5" s="24">
        <f>'BASF SE'!$B$2</f>
        <v>7.583333333333333</v>
      </c>
      <c r="E5" s="38" t="s">
        <v>1632</v>
      </c>
      <c r="F5" s="41">
        <f ca="1">R52</f>
        <v>6.52</v>
      </c>
      <c r="H5" s="1" t="s">
        <v>29</v>
      </c>
      <c r="I5" s="1" t="str">
        <f t="shared" si="0"/>
        <v>Electrical</v>
      </c>
      <c r="J5" s="24" cm="1">
        <f t="array" aca="1" ref="J5" ca="1">INDIRECT("'"&amp;H5&amp;"'!$B$27")</f>
        <v>3</v>
      </c>
      <c r="L5" s="1" t="s">
        <v>132</v>
      </c>
      <c r="M5" s="1" t="str">
        <f t="shared" si="2"/>
        <v>Chemical</v>
      </c>
      <c r="N5" s="24" cm="1">
        <f t="array" aca="1" ref="N5" ca="1">INDIRECT("'"&amp;L5&amp;"'!$B$28")</f>
        <v>0</v>
      </c>
      <c r="P5" s="1" t="s">
        <v>1412</v>
      </c>
      <c r="Q5" s="1" t="str">
        <f t="shared" si="1"/>
        <v>Military and defense</v>
      </c>
      <c r="R5" s="24" cm="1">
        <f t="array" aca="1" ref="R5" ca="1">INDIRECT("'"&amp;P5&amp;"'!$B$29")</f>
        <v>2</v>
      </c>
      <c r="T5" s="1" t="s">
        <v>108</v>
      </c>
      <c r="U5" s="1" t="str">
        <f t="shared" si="3"/>
        <v>Chemical</v>
      </c>
      <c r="V5" s="37" cm="1">
        <f t="array" aca="1" ref="V5" ca="1">INDIRECT("'"&amp;T5&amp;"'!$B$30")</f>
        <v>0</v>
      </c>
    </row>
    <row r="6" spans="1:22">
      <c r="A6" s="1" t="s">
        <v>87</v>
      </c>
      <c r="B6" t="str">
        <f>VLOOKUP(A6,Sectors!$A$2:$B$51,2, FALSE)</f>
        <v>Chemical</v>
      </c>
      <c r="C6" s="24">
        <f>'Bayer AG'!$B$2</f>
        <v>6.166666666666667</v>
      </c>
      <c r="E6" s="38" t="s">
        <v>1633</v>
      </c>
      <c r="F6" s="41">
        <f ca="1">V52</f>
        <v>0.2</v>
      </c>
      <c r="H6" s="1" t="s">
        <v>1412</v>
      </c>
      <c r="I6" s="1" t="str">
        <f t="shared" si="0"/>
        <v>Military and defense</v>
      </c>
      <c r="J6" s="24" cm="1">
        <f t="array" aca="1" ref="J6" ca="1">INDIRECT("'"&amp;H6&amp;"'!$B$27")</f>
        <v>3</v>
      </c>
      <c r="L6" s="1" t="s">
        <v>155</v>
      </c>
      <c r="M6" s="1" t="str">
        <f t="shared" si="2"/>
        <v>Mechanical engineering</v>
      </c>
      <c r="N6" s="24" cm="1">
        <f t="array" aca="1" ref="N6" ca="1">INDIRECT("'"&amp;L6&amp;"'!$B$28")</f>
        <v>0</v>
      </c>
      <c r="P6" s="1" t="s">
        <v>1408</v>
      </c>
      <c r="Q6" s="1" t="str">
        <f t="shared" si="1"/>
        <v>Military and defense</v>
      </c>
      <c r="R6" s="24" cm="1">
        <f t="array" aca="1" ref="R6" ca="1">INDIRECT("'"&amp;P6&amp;"'!$B$29")</f>
        <v>2</v>
      </c>
      <c r="T6" s="1" t="s">
        <v>87</v>
      </c>
      <c r="U6" s="1" t="str">
        <f t="shared" si="3"/>
        <v>Chemical</v>
      </c>
      <c r="V6" s="37" cm="1">
        <f t="array" aca="1" ref="V6" ca="1">INDIRECT("'"&amp;T6&amp;"'!$B$30")</f>
        <v>0</v>
      </c>
    </row>
    <row r="7" spans="1:22">
      <c r="A7" s="1" t="s">
        <v>92</v>
      </c>
      <c r="B7" t="str">
        <f>VLOOKUP(A7,Sectors!$A$2:$B$51,2, FALSE)</f>
        <v>Automotive</v>
      </c>
      <c r="C7" s="24">
        <f>'BMW AG'!$B$2</f>
        <v>6.25</v>
      </c>
      <c r="F7" s="24"/>
      <c r="H7" s="1" t="s">
        <v>132</v>
      </c>
      <c r="I7" s="1" t="str">
        <f t="shared" si="0"/>
        <v>Chemical</v>
      </c>
      <c r="J7" s="24" cm="1">
        <f t="array" aca="1" ref="J7" ca="1">INDIRECT("'"&amp;H7&amp;"'!$B$27")</f>
        <v>3</v>
      </c>
      <c r="L7" s="1" t="s">
        <v>65</v>
      </c>
      <c r="M7" s="1" t="str">
        <f t="shared" si="2"/>
        <v>Mechanical engineering</v>
      </c>
      <c r="N7" s="24" cm="1">
        <f t="array" aca="1" ref="N7" ca="1">INDIRECT("'"&amp;L7&amp;"'!$B$28")</f>
        <v>0</v>
      </c>
      <c r="P7" s="1" t="s">
        <v>164</v>
      </c>
      <c r="Q7" s="1" t="str">
        <f t="shared" si="1"/>
        <v>Chemical</v>
      </c>
      <c r="R7" s="24" cm="1">
        <f t="array" aca="1" ref="R7" ca="1">INDIRECT("'"&amp;P7&amp;"'!$B$29")</f>
        <v>4</v>
      </c>
      <c r="T7" s="1" t="s">
        <v>92</v>
      </c>
      <c r="U7" s="1" t="str">
        <f t="shared" si="3"/>
        <v>Automotive</v>
      </c>
      <c r="V7" s="37" cm="1">
        <f t="array" aca="1" ref="V7" ca="1">INDIRECT("'"&amp;T7&amp;"'!$B$30")</f>
        <v>0</v>
      </c>
    </row>
    <row r="8" spans="1:22">
      <c r="A8" s="1" t="s">
        <v>201</v>
      </c>
      <c r="B8" t="str">
        <f>VLOOKUP(A8,Sectors!$A$2:$B$51,2, FALSE)</f>
        <v>Chemical</v>
      </c>
      <c r="C8" s="24">
        <f>'Boehringer Ingelheim GmbH'!$B$2</f>
        <v>4.083333333333333</v>
      </c>
      <c r="H8" s="1" t="s">
        <v>1408</v>
      </c>
      <c r="I8" s="1" t="str">
        <f t="shared" si="0"/>
        <v>Military and defense</v>
      </c>
      <c r="J8" s="24" cm="1">
        <f t="array" aca="1" ref="J8" ca="1">INDIRECT("'"&amp;H8&amp;"'!$B$27")</f>
        <v>3</v>
      </c>
      <c r="L8" s="1" t="s">
        <v>42</v>
      </c>
      <c r="M8" s="1" t="str">
        <f t="shared" si="2"/>
        <v>Military and defense</v>
      </c>
      <c r="N8" s="24" cm="1">
        <f t="array" aca="1" ref="N8" ca="1">INDIRECT("'"&amp;L8&amp;"'!$B$28")</f>
        <v>0</v>
      </c>
      <c r="P8" s="1" t="s">
        <v>132</v>
      </c>
      <c r="Q8" s="1" t="str">
        <f t="shared" si="1"/>
        <v>Chemical</v>
      </c>
      <c r="R8" s="24" cm="1">
        <f t="array" aca="1" ref="R8" ca="1">INDIRECT("'"&amp;P8&amp;"'!$B$29")</f>
        <v>4</v>
      </c>
      <c r="T8" s="1" t="s">
        <v>126</v>
      </c>
      <c r="U8" s="1" t="str">
        <f t="shared" si="3"/>
        <v>Automotive</v>
      </c>
      <c r="V8" s="37" cm="1">
        <f t="array" aca="1" ref="V8" ca="1">INDIRECT("'"&amp;T8&amp;"'!$B$30")</f>
        <v>0</v>
      </c>
    </row>
    <row r="9" spans="1:22">
      <c r="A9" s="1" t="s">
        <v>126</v>
      </c>
      <c r="B9" t="str">
        <f>VLOOKUP(A9,Sectors!$A$2:$B$51,2, FALSE)</f>
        <v>Automotive</v>
      </c>
      <c r="C9" s="24">
        <f>'Continental AG'!$B$2</f>
        <v>4.5</v>
      </c>
      <c r="H9" s="1" t="s">
        <v>61</v>
      </c>
      <c r="I9" s="1" t="str">
        <f t="shared" si="0"/>
        <v>Electrical</v>
      </c>
      <c r="J9" s="24" cm="1">
        <f t="array" aca="1" ref="J9" ca="1">INDIRECT("'"&amp;H9&amp;"'!$B$27")</f>
        <v>3</v>
      </c>
      <c r="L9" s="1" t="s">
        <v>33</v>
      </c>
      <c r="M9" s="1" t="str">
        <f t="shared" si="2"/>
        <v>Military and defense</v>
      </c>
      <c r="N9" s="24" cm="1">
        <f t="array" aca="1" ref="N9" ca="1">INDIRECT("'"&amp;L9&amp;"'!$B$28")</f>
        <v>0</v>
      </c>
      <c r="P9" s="1" t="s">
        <v>33</v>
      </c>
      <c r="Q9" s="1" t="str">
        <f t="shared" si="1"/>
        <v>Military and defense</v>
      </c>
      <c r="R9" s="24" cm="1">
        <f t="array" aca="1" ref="R9" ca="1">INDIRECT("'"&amp;P9&amp;"'!$B$29")</f>
        <v>4</v>
      </c>
      <c r="T9" s="1" t="s">
        <v>164</v>
      </c>
      <c r="U9" s="1" t="str">
        <f t="shared" si="3"/>
        <v>Chemical</v>
      </c>
      <c r="V9" s="37" cm="1">
        <f t="array" aca="1" ref="V9" ca="1">INDIRECT("'"&amp;T9&amp;"'!$B$30")</f>
        <v>0</v>
      </c>
    </row>
    <row r="10" spans="1:22">
      <c r="A10" s="1" t="s">
        <v>164</v>
      </c>
      <c r="B10" t="str">
        <f>VLOOKUP(A10,Sectors!$A$2:$B$51,2, FALSE)</f>
        <v>Chemical</v>
      </c>
      <c r="C10" s="24">
        <f>Covestro!$B$2</f>
        <v>3.25</v>
      </c>
      <c r="H10" s="1" t="s">
        <v>164</v>
      </c>
      <c r="I10" s="1" t="str">
        <f t="shared" si="0"/>
        <v>Chemical</v>
      </c>
      <c r="J10" s="24" cm="1">
        <f t="array" aca="1" ref="J10" ca="1">INDIRECT("'"&amp;H10&amp;"'!$B$27")</f>
        <v>4.666666666666667</v>
      </c>
      <c r="L10" s="1" t="s">
        <v>79</v>
      </c>
      <c r="M10" s="1" t="str">
        <f t="shared" si="2"/>
        <v>Military and defense</v>
      </c>
      <c r="N10" s="24" cm="1">
        <f t="array" aca="1" ref="N10" ca="1">INDIRECT("'"&amp;L10&amp;"'!$B$28")</f>
        <v>0</v>
      </c>
      <c r="P10" s="1" t="s">
        <v>71</v>
      </c>
      <c r="Q10" s="1" t="str">
        <f t="shared" si="1"/>
        <v>Electrical</v>
      </c>
      <c r="R10" s="24" cm="1">
        <f t="array" aca="1" ref="R10" ca="1">INDIRECT("'"&amp;P10&amp;"'!$B$29")</f>
        <v>4</v>
      </c>
      <c r="T10" s="1" t="s">
        <v>191</v>
      </c>
      <c r="U10" s="1" t="str">
        <f t="shared" si="3"/>
        <v>Mechanical engineering</v>
      </c>
      <c r="V10" s="37" cm="1">
        <f t="array" aca="1" ref="V10" ca="1">INDIRECT("'"&amp;T10&amp;"'!$B$30")</f>
        <v>0</v>
      </c>
    </row>
    <row r="11" spans="1:22">
      <c r="A11" s="3" t="s">
        <v>191</v>
      </c>
      <c r="B11" t="str">
        <f>VLOOKUP(A11,Sectors!$A$2:$B$51,2, FALSE)</f>
        <v>Mechanical engineering</v>
      </c>
      <c r="C11" s="24">
        <f>'D√ºrr Group'!$B$2</f>
        <v>4.916666666666667</v>
      </c>
      <c r="H11" s="1" t="s">
        <v>155</v>
      </c>
      <c r="I11" s="1" t="str">
        <f t="shared" si="0"/>
        <v>Mechanical engineering</v>
      </c>
      <c r="J11" s="24" cm="1">
        <f t="array" aca="1" ref="J11" ca="1">INDIRECT("'"&amp;H11&amp;"'!$B$27")</f>
        <v>4.666666666666667</v>
      </c>
      <c r="L11" s="1" t="s">
        <v>152</v>
      </c>
      <c r="M11" s="1" t="str">
        <f t="shared" si="2"/>
        <v>Automotive</v>
      </c>
      <c r="N11" s="24" cm="1">
        <f t="array" aca="1" ref="N11" ca="1">INDIRECT("'"&amp;L11&amp;"'!$B$28")</f>
        <v>0</v>
      </c>
      <c r="P11" s="1" t="s">
        <v>126</v>
      </c>
      <c r="Q11" s="1" t="str">
        <f t="shared" si="1"/>
        <v>Automotive</v>
      </c>
      <c r="R11" s="24" cm="1">
        <f t="array" aca="1" ref="R11" ca="1">INDIRECT("'"&amp;P11&amp;"'!$B$29")</f>
        <v>5</v>
      </c>
      <c r="T11" s="1" t="s">
        <v>118</v>
      </c>
      <c r="U11" s="1" t="str">
        <f t="shared" si="3"/>
        <v>Automotive</v>
      </c>
      <c r="V11" s="37" cm="1">
        <f t="array" aca="1" ref="V11" ca="1">INDIRECT("'"&amp;T11&amp;"'!$B$30")</f>
        <v>0</v>
      </c>
    </row>
    <row r="12" spans="1:22">
      <c r="A12" s="1" t="s">
        <v>118</v>
      </c>
      <c r="B12" t="str">
        <f>VLOOKUP(A12,Sectors!$A$2:$B$51,2, FALSE)</f>
        <v>Automotive</v>
      </c>
      <c r="C12" s="24">
        <f>'Daimler Truck AG'!$B$2</f>
        <v>6.166666666666667</v>
      </c>
      <c r="H12" s="1" t="s">
        <v>79</v>
      </c>
      <c r="I12" s="1" t="str">
        <f t="shared" si="0"/>
        <v>Military and defense</v>
      </c>
      <c r="J12" s="24" cm="1">
        <f t="array" aca="1" ref="J12" ca="1">INDIRECT("'"&amp;H12&amp;"'!$B$27")</f>
        <v>3</v>
      </c>
      <c r="L12" s="1" t="s">
        <v>68</v>
      </c>
      <c r="M12" s="1" t="str">
        <f t="shared" si="2"/>
        <v>Electrical</v>
      </c>
      <c r="N12" s="24" cm="1">
        <f t="array" aca="1" ref="N12" ca="1">INDIRECT("'"&amp;L12&amp;"'!$B$28")</f>
        <v>2.5</v>
      </c>
      <c r="P12" s="1" t="s">
        <v>168</v>
      </c>
      <c r="Q12" s="1" t="str">
        <f t="shared" si="1"/>
        <v>Mechanical engineering</v>
      </c>
      <c r="R12" s="24" cm="1">
        <f t="array" aca="1" ref="R12" ca="1">INDIRECT("'"&amp;P12&amp;"'!$B$29")</f>
        <v>5</v>
      </c>
      <c r="T12" s="1" t="s">
        <v>197</v>
      </c>
      <c r="U12" s="1" t="str">
        <f t="shared" si="3"/>
        <v>Mechanical engineering</v>
      </c>
      <c r="V12" s="37" cm="1">
        <f t="array" aca="1" ref="V12" ca="1">INDIRECT("'"&amp;T12&amp;"'!$B$30")</f>
        <v>0</v>
      </c>
    </row>
    <row r="13" spans="1:22">
      <c r="A13" s="1" t="s">
        <v>197</v>
      </c>
      <c r="B13" t="str">
        <f>VLOOKUP(A13,Sectors!$A$2:$B$51,2, FALSE)</f>
        <v>Mechanical engineering</v>
      </c>
      <c r="C13" s="24">
        <f>'Deere &amp; Co'!$B$2</f>
        <v>5.75</v>
      </c>
      <c r="H13" s="1" t="s">
        <v>38</v>
      </c>
      <c r="I13" s="1" t="str">
        <f t="shared" si="0"/>
        <v>Military and defense</v>
      </c>
      <c r="J13" s="24" cm="1">
        <f t="array" aca="1" ref="J13" ca="1">INDIRECT("'"&amp;H13&amp;"'!$B$27")</f>
        <v>5</v>
      </c>
      <c r="L13" s="1" t="s">
        <v>201</v>
      </c>
      <c r="M13" s="1" t="str">
        <f t="shared" si="2"/>
        <v>Chemical</v>
      </c>
      <c r="N13" s="24" cm="1">
        <f t="array" aca="1" ref="N13" ca="1">INDIRECT("'"&amp;L13&amp;"'!$B$28")</f>
        <v>2.5</v>
      </c>
      <c r="P13" s="1" t="s">
        <v>194</v>
      </c>
      <c r="Q13" s="1" t="str">
        <f t="shared" si="1"/>
        <v>Chemical</v>
      </c>
      <c r="R13" s="24" cm="1">
        <f t="array" aca="1" ref="R13" ca="1">INDIRECT("'"&amp;P13&amp;"'!$B$29")</f>
        <v>5</v>
      </c>
      <c r="T13" s="1" t="s">
        <v>53</v>
      </c>
      <c r="U13" s="1" t="str">
        <f t="shared" si="3"/>
        <v>Military and defense</v>
      </c>
      <c r="V13" s="37" cm="1">
        <f t="array" aca="1" ref="V13" ca="1">INDIRECT("'"&amp;T13&amp;"'!$B$30")</f>
        <v>0</v>
      </c>
    </row>
    <row r="14" spans="1:22">
      <c r="A14" s="1" t="s">
        <v>53</v>
      </c>
      <c r="B14" t="str">
        <f>VLOOKUP(A14,Sectors!$A$2:$B$51,2, FALSE)</f>
        <v>Military and defense</v>
      </c>
      <c r="C14" s="24">
        <f>'Diehl Stiftung &amp; Co. KG'!$B$2</f>
        <v>3.25</v>
      </c>
      <c r="H14" s="1" t="s">
        <v>74</v>
      </c>
      <c r="I14" s="1" t="str">
        <f t="shared" si="0"/>
        <v>Military and defense</v>
      </c>
      <c r="J14" s="24" cm="1">
        <f t="array" aca="1" ref="J14" ca="1">INDIRECT("'"&amp;H14&amp;"'!$B$27")</f>
        <v>6.333333333333333</v>
      </c>
      <c r="L14" s="1" t="s">
        <v>126</v>
      </c>
      <c r="M14" s="1" t="str">
        <f t="shared" si="2"/>
        <v>Automotive</v>
      </c>
      <c r="N14" s="24" cm="1">
        <f t="array" aca="1" ref="N14" ca="1">INDIRECT("'"&amp;L14&amp;"'!$B$28")</f>
        <v>2.5</v>
      </c>
      <c r="P14" s="1" t="s">
        <v>61</v>
      </c>
      <c r="Q14" s="1" t="str">
        <f t="shared" si="1"/>
        <v>Electrical</v>
      </c>
      <c r="R14" s="24" cm="1">
        <f t="array" aca="1" ref="R14" ca="1">INDIRECT("'"&amp;P14&amp;"'!$B$29")</f>
        <v>5</v>
      </c>
      <c r="T14" s="1" t="s">
        <v>57</v>
      </c>
      <c r="U14" s="1" t="str">
        <f t="shared" si="3"/>
        <v>Electrical</v>
      </c>
      <c r="V14" s="37" cm="1">
        <f t="array" aca="1" ref="V14" ca="1">INDIRECT("'"&amp;T14&amp;"'!$B$30")</f>
        <v>0</v>
      </c>
    </row>
    <row r="15" spans="1:22">
      <c r="A15" s="1" t="s">
        <v>57</v>
      </c>
      <c r="B15" t="str">
        <f>VLOOKUP(A15,Sectors!$A$2:$B$51,2, FALSE)</f>
        <v>Electrical</v>
      </c>
      <c r="C15" s="24">
        <f>'E.ON SE'!$B$2</f>
        <v>5.333333333333333</v>
      </c>
      <c r="H15" s="1" t="s">
        <v>182</v>
      </c>
      <c r="I15" s="1" t="str">
        <f t="shared" si="0"/>
        <v>Electrical</v>
      </c>
      <c r="J15" s="24" cm="1">
        <f t="array" aca="1" ref="J15" ca="1">INDIRECT("'"&amp;H15&amp;"'!$B$27")</f>
        <v>6.333333333333333</v>
      </c>
      <c r="L15" s="1" t="s">
        <v>164</v>
      </c>
      <c r="M15" s="1" t="str">
        <f t="shared" si="2"/>
        <v>Chemical</v>
      </c>
      <c r="N15" s="24" cm="1">
        <f t="array" aca="1" ref="N15" ca="1">INDIRECT("'"&amp;L15&amp;"'!$B$28")</f>
        <v>2.5</v>
      </c>
      <c r="P15" s="1" t="s">
        <v>68</v>
      </c>
      <c r="Q15" s="1" t="str">
        <f t="shared" si="1"/>
        <v>Electrical</v>
      </c>
      <c r="R15" s="24" cm="1">
        <f t="array" aca="1" ref="R15" ca="1">INDIRECT("'"&amp;P15&amp;"'!$B$29")</f>
        <v>6</v>
      </c>
      <c r="T15" s="1" t="s">
        <v>177</v>
      </c>
      <c r="U15" s="1" t="str">
        <f t="shared" si="3"/>
        <v>Electrical</v>
      </c>
      <c r="V15" s="37" cm="1">
        <f t="array" aca="1" ref="V15" ca="1">INDIRECT("'"&amp;T15&amp;"'!$B$30")</f>
        <v>0</v>
      </c>
    </row>
    <row r="16" spans="1:22">
      <c r="A16" s="1" t="s">
        <v>177</v>
      </c>
      <c r="B16" t="str">
        <f>VLOOKUP(A16,Sectors!$A$2:$B$51,2, FALSE)</f>
        <v>Electrical</v>
      </c>
      <c r="C16" s="24">
        <f>'EnBW-Energie Baden-Wuerttemberg'!$B$2</f>
        <v>6.333333333333333</v>
      </c>
      <c r="H16" s="1" t="s">
        <v>191</v>
      </c>
      <c r="I16" s="1" t="str">
        <f t="shared" si="0"/>
        <v>Mechanical engineering</v>
      </c>
      <c r="J16" s="24" cm="1">
        <f t="array" aca="1" ref="J16" ca="1">INDIRECT("'"&amp;H16&amp;"'!$B$27")</f>
        <v>6.333333333333333</v>
      </c>
      <c r="L16" s="1" t="s">
        <v>191</v>
      </c>
      <c r="M16" s="1" t="str">
        <f t="shared" si="2"/>
        <v>Mechanical engineering</v>
      </c>
      <c r="N16" s="24" cm="1">
        <f t="array" aca="1" ref="N16" ca="1">INDIRECT("'"&amp;L16&amp;"'!$B$28")</f>
        <v>2.5</v>
      </c>
      <c r="P16" s="1" t="s">
        <v>74</v>
      </c>
      <c r="Q16" s="1" t="str">
        <f t="shared" si="1"/>
        <v>Military and defense</v>
      </c>
      <c r="R16" s="24" cm="1">
        <f t="array" aca="1" ref="R16" ca="1">INDIRECT("'"&amp;P16&amp;"'!$B$29")</f>
        <v>6</v>
      </c>
      <c r="T16" s="1" t="s">
        <v>1405</v>
      </c>
      <c r="U16" s="1" t="str">
        <f t="shared" si="3"/>
        <v>Mechanical engineering</v>
      </c>
      <c r="V16" s="37" cm="1">
        <f t="array" aca="1" ref="V16" ca="1">INDIRECT("'"&amp;T16&amp;"'!$B$30")</f>
        <v>0</v>
      </c>
    </row>
    <row r="17" spans="1:22">
      <c r="A17" s="1" t="s">
        <v>1405</v>
      </c>
      <c r="B17" t="str">
        <f>VLOOKUP(A17,Sectors!$A$2:$B$51,2, FALSE)</f>
        <v>Mechanical engineering</v>
      </c>
      <c r="C17" s="24">
        <f>'Enercon GmbH'!$B$2</f>
        <v>5.333333333333333</v>
      </c>
      <c r="H17" s="1" t="s">
        <v>197</v>
      </c>
      <c r="I17" s="1" t="str">
        <f t="shared" si="0"/>
        <v>Mechanical engineering</v>
      </c>
      <c r="J17" s="24" cm="1">
        <f t="array" aca="1" ref="J17" ca="1">INDIRECT("'"&amp;H17&amp;"'!$B$27")</f>
        <v>6.333333333333333</v>
      </c>
      <c r="L17" s="1" t="s">
        <v>1405</v>
      </c>
      <c r="M17" s="1" t="str">
        <f t="shared" si="2"/>
        <v>Mechanical engineering</v>
      </c>
      <c r="N17" s="24" cm="1">
        <f t="array" aca="1" ref="N17" ca="1">INDIRECT("'"&amp;L17&amp;"'!$B$28")</f>
        <v>2.5</v>
      </c>
      <c r="P17" s="1" t="s">
        <v>53</v>
      </c>
      <c r="Q17" s="1" t="str">
        <f t="shared" si="1"/>
        <v>Military and defense</v>
      </c>
      <c r="R17" s="24" cm="1">
        <f t="array" aca="1" ref="R17" ca="1">INDIRECT("'"&amp;P17&amp;"'!$B$29")</f>
        <v>6</v>
      </c>
      <c r="T17" s="1" t="s">
        <v>45</v>
      </c>
      <c r="U17" s="1" t="str">
        <f t="shared" si="3"/>
        <v>Chemical</v>
      </c>
      <c r="V17" s="37" cm="1">
        <f t="array" aca="1" ref="V17" ca="1">INDIRECT("'"&amp;T17&amp;"'!$B$30")</f>
        <v>0</v>
      </c>
    </row>
    <row r="18" spans="1:22">
      <c r="A18" s="1" t="s">
        <v>45</v>
      </c>
      <c r="B18" t="str">
        <f>VLOOKUP(A18,Sectors!$A$2:$B$51,2, FALSE)</f>
        <v>Chemical</v>
      </c>
      <c r="C18" s="24">
        <f>Evonik!$B$2</f>
        <v>4.5</v>
      </c>
      <c r="H18" s="1" t="s">
        <v>57</v>
      </c>
      <c r="I18" s="1" t="str">
        <f t="shared" si="0"/>
        <v>Electrical</v>
      </c>
      <c r="J18" s="24" cm="1">
        <f t="array" aca="1" ref="J18" ca="1">INDIRECT("'"&amp;H18&amp;"'!$B$27")</f>
        <v>6.333333333333333</v>
      </c>
      <c r="L18" s="1" t="s">
        <v>45</v>
      </c>
      <c r="M18" s="1" t="str">
        <f t="shared" si="2"/>
        <v>Chemical</v>
      </c>
      <c r="N18" s="24" cm="1">
        <f t="array" aca="1" ref="N18" ca="1">INDIRECT("'"&amp;L18&amp;"'!$B$28")</f>
        <v>2.5</v>
      </c>
      <c r="P18" s="1" t="s">
        <v>45</v>
      </c>
      <c r="Q18" s="1" t="str">
        <f t="shared" si="1"/>
        <v>Chemical</v>
      </c>
      <c r="R18" s="24" cm="1">
        <f t="array" aca="1" ref="R18" ca="1">INDIRECT("'"&amp;P18&amp;"'!$B$29")</f>
        <v>6</v>
      </c>
      <c r="T18" s="1" t="s">
        <v>135</v>
      </c>
      <c r="U18" s="1" t="str">
        <f t="shared" si="3"/>
        <v>Mechanical engineering</v>
      </c>
      <c r="V18" s="37" cm="1">
        <f t="array" aca="1" ref="V18" ca="1">INDIRECT("'"&amp;T18&amp;"'!$B$30")</f>
        <v>0</v>
      </c>
    </row>
    <row r="19" spans="1:22">
      <c r="A19" s="1" t="s">
        <v>135</v>
      </c>
      <c r="B19" t="str">
        <f>VLOOKUP(A19,Sectors!$A$2:$B$51,2, FALSE)</f>
        <v>Mechanical engineering</v>
      </c>
      <c r="C19" s="24">
        <f>'GEA Group'!$B$2</f>
        <v>5.75</v>
      </c>
      <c r="H19" s="1" t="s">
        <v>1405</v>
      </c>
      <c r="I19" s="1" t="str">
        <f t="shared" si="0"/>
        <v>Mechanical engineering</v>
      </c>
      <c r="J19" s="24" cm="1">
        <f t="array" aca="1" ref="J19" ca="1">INDIRECT("'"&amp;H19&amp;"'!$B$27")</f>
        <v>6.333333333333333</v>
      </c>
      <c r="L19" s="1" t="s">
        <v>135</v>
      </c>
      <c r="M19" s="1" t="str">
        <f t="shared" si="2"/>
        <v>Mechanical engineering</v>
      </c>
      <c r="N19" s="24" cm="1">
        <f t="array" aca="1" ref="N19" ca="1">INDIRECT("'"&amp;L19&amp;"'!$B$28")</f>
        <v>2.5</v>
      </c>
      <c r="P19" s="1" t="s">
        <v>129</v>
      </c>
      <c r="Q19" s="1" t="str">
        <f t="shared" si="1"/>
        <v>Mechanical engineering</v>
      </c>
      <c r="R19" s="24" cm="1">
        <f t="array" aca="1" ref="R19" ca="1">INDIRECT("'"&amp;P19&amp;"'!$B$29")</f>
        <v>6</v>
      </c>
      <c r="T19" s="1" t="s">
        <v>29</v>
      </c>
      <c r="U19" s="1" t="str">
        <f t="shared" si="3"/>
        <v>Electrical</v>
      </c>
      <c r="V19" s="37" cm="1">
        <f t="array" aca="1" ref="V19" ca="1">INDIRECT("'"&amp;T19&amp;"'!$B$30")</f>
        <v>0</v>
      </c>
    </row>
    <row r="20" spans="1:22">
      <c r="A20" s="1" t="s">
        <v>29</v>
      </c>
      <c r="B20" t="str">
        <f>VLOOKUP(A20,Sectors!$A$2:$B$51,2, FALSE)</f>
        <v>Electrical</v>
      </c>
      <c r="C20" s="24">
        <f>Gelsenwasser!$B$2</f>
        <v>4.916666666666667</v>
      </c>
      <c r="H20" s="1" t="s">
        <v>45</v>
      </c>
      <c r="I20" s="1" t="str">
        <f t="shared" si="0"/>
        <v>Chemical</v>
      </c>
      <c r="J20" s="24" cm="1">
        <f t="array" aca="1" ref="J20" ca="1">INDIRECT("'"&amp;H20&amp;"'!$B$27")</f>
        <v>6.333333333333333</v>
      </c>
      <c r="L20" s="1" t="s">
        <v>1412</v>
      </c>
      <c r="M20" s="1" t="str">
        <f t="shared" si="2"/>
        <v>Military and defense</v>
      </c>
      <c r="N20" s="24" cm="1">
        <f t="array" aca="1" ref="N20" ca="1">INDIRECT("'"&amp;L20&amp;"'!$B$28")</f>
        <v>2.5</v>
      </c>
      <c r="P20" s="1" t="s">
        <v>83</v>
      </c>
      <c r="Q20" s="1" t="str">
        <f t="shared" si="1"/>
        <v>Electrical</v>
      </c>
      <c r="R20" s="24" cm="1">
        <f t="array" aca="1" ref="R20" ca="1">INDIRECT("'"&amp;P20&amp;"'!$B$29")</f>
        <v>6</v>
      </c>
      <c r="T20" s="1" t="s">
        <v>1412</v>
      </c>
      <c r="U20" s="1" t="str">
        <f t="shared" si="3"/>
        <v>Military and defense</v>
      </c>
      <c r="V20" s="37" cm="1">
        <f t="array" aca="1" ref="V20" ca="1">INDIRECT("'"&amp;T20&amp;"'!$B$30")</f>
        <v>0</v>
      </c>
    </row>
    <row r="21" spans="1:22">
      <c r="A21" s="1" t="s">
        <v>1412</v>
      </c>
      <c r="B21" t="str">
        <f>VLOOKUP(A21,Sectors!$A$2:$B$51,2, FALSE)</f>
        <v>Military and defense</v>
      </c>
      <c r="C21" s="24">
        <f>'Heckler &amp; Koch AG'!$B$2</f>
        <v>2</v>
      </c>
      <c r="H21" s="1" t="s">
        <v>187</v>
      </c>
      <c r="I21" s="1" t="str">
        <f t="shared" si="0"/>
        <v>Automotive</v>
      </c>
      <c r="J21" s="24" cm="1">
        <f t="array" aca="1" ref="J21" ca="1">INDIRECT("'"&amp;H21&amp;"'!$B$27")</f>
        <v>6.333333333333333</v>
      </c>
      <c r="L21" s="1" t="s">
        <v>187</v>
      </c>
      <c r="M21" s="1" t="str">
        <f t="shared" si="2"/>
        <v>Automotive</v>
      </c>
      <c r="N21" s="24" cm="1">
        <f t="array" aca="1" ref="N21" ca="1">INDIRECT("'"&amp;L21&amp;"'!$B$28")</f>
        <v>2.5</v>
      </c>
      <c r="P21" s="1" t="s">
        <v>152</v>
      </c>
      <c r="Q21" s="1" t="str">
        <f t="shared" si="1"/>
        <v>Automotive</v>
      </c>
      <c r="R21" s="24" cm="1">
        <f t="array" aca="1" ref="R21" ca="1">INDIRECT("'"&amp;P21&amp;"'!$B$29")</f>
        <v>6</v>
      </c>
      <c r="T21" s="1" t="s">
        <v>187</v>
      </c>
      <c r="U21" s="1" t="str">
        <f t="shared" si="3"/>
        <v>Automotive</v>
      </c>
      <c r="V21" s="37" cm="1">
        <f t="array" aca="1" ref="V21" ca="1">INDIRECT("'"&amp;T21&amp;"'!$B$30")</f>
        <v>0</v>
      </c>
    </row>
    <row r="22" spans="1:22">
      <c r="A22" s="1" t="s">
        <v>187</v>
      </c>
      <c r="B22" t="str">
        <f>VLOOKUP(A22,Sectors!$A$2:$B$51,2, FALSE)</f>
        <v>Automotive</v>
      </c>
      <c r="C22" s="24">
        <f>'HELLA GMBH &amp; CO. KGAA'!$B$2</f>
        <v>6.166666666666667</v>
      </c>
      <c r="H22" s="1" t="s">
        <v>172</v>
      </c>
      <c r="I22" s="1" t="str">
        <f t="shared" si="0"/>
        <v>Chemical</v>
      </c>
      <c r="J22" s="24" cm="1">
        <f t="array" aca="1" ref="J22" ca="1">INDIRECT("'"&amp;H22&amp;"'!$B$27")</f>
        <v>6.333333333333333</v>
      </c>
      <c r="L22" s="1" t="s">
        <v>172</v>
      </c>
      <c r="M22" s="1" t="str">
        <f t="shared" si="2"/>
        <v>Chemical</v>
      </c>
      <c r="N22" s="24" cm="1">
        <f t="array" aca="1" ref="N22" ca="1">INDIRECT("'"&amp;L22&amp;"'!$B$28")</f>
        <v>2.5</v>
      </c>
      <c r="P22" s="1" t="s">
        <v>92</v>
      </c>
      <c r="Q22" s="1" t="str">
        <f t="shared" si="1"/>
        <v>Automotive</v>
      </c>
      <c r="R22" s="24" cm="1">
        <f t="array" aca="1" ref="R22" ca="1">INDIRECT("'"&amp;P22&amp;"'!$B$29")</f>
        <v>7</v>
      </c>
      <c r="T22" s="1" t="s">
        <v>132</v>
      </c>
      <c r="U22" s="1" t="str">
        <f t="shared" si="3"/>
        <v>Chemical</v>
      </c>
      <c r="V22" s="37" cm="1">
        <f t="array" aca="1" ref="V22" ca="1">INDIRECT("'"&amp;T22&amp;"'!$B$30")</f>
        <v>0</v>
      </c>
    </row>
    <row r="23" spans="1:22">
      <c r="A23" s="1" t="s">
        <v>132</v>
      </c>
      <c r="B23" t="str">
        <f>VLOOKUP(A23,Sectors!$A$2:$B$51,2, FALSE)</f>
        <v>Chemical</v>
      </c>
      <c r="C23" s="24">
        <f>'Helm AG'!$B$2</f>
        <v>2.4166666666666665</v>
      </c>
      <c r="H23" s="1" t="s">
        <v>208</v>
      </c>
      <c r="I23" s="1" t="str">
        <f t="shared" si="0"/>
        <v>Military and defense</v>
      </c>
      <c r="J23" s="24" cm="1">
        <f t="array" aca="1" ref="J23" ca="1">INDIRECT("'"&amp;H23&amp;"'!$B$27")</f>
        <v>6.333333333333333</v>
      </c>
      <c r="L23" s="1" t="s">
        <v>208</v>
      </c>
      <c r="M23" s="1" t="str">
        <f t="shared" si="2"/>
        <v>Military and defense</v>
      </c>
      <c r="N23" s="24" cm="1">
        <f t="array" aca="1" ref="N23" ca="1">INDIRECT("'"&amp;L23&amp;"'!$B$28")</f>
        <v>2.5</v>
      </c>
      <c r="P23" s="1" t="s">
        <v>191</v>
      </c>
      <c r="Q23" s="1" t="str">
        <f t="shared" si="1"/>
        <v>Mechanical engineering</v>
      </c>
      <c r="R23" s="24" cm="1">
        <f t="array" aca="1" ref="R23" ca="1">INDIRECT("'"&amp;P23&amp;"'!$B$29")</f>
        <v>7</v>
      </c>
      <c r="T23" s="1" t="s">
        <v>172</v>
      </c>
      <c r="U23" s="1" t="str">
        <f t="shared" si="3"/>
        <v>Chemical</v>
      </c>
      <c r="V23" s="37" cm="1">
        <f t="array" aca="1" ref="V23" ca="1">INDIRECT("'"&amp;T23&amp;"'!$B$30")</f>
        <v>0</v>
      </c>
    </row>
    <row r="24" spans="1:22">
      <c r="A24" s="1" t="s">
        <v>172</v>
      </c>
      <c r="B24" t="str">
        <f>VLOOKUP(A24,Sectors!$A$2:$B$51,2, FALSE)</f>
        <v>Chemical</v>
      </c>
      <c r="C24" s="24">
        <f>'Henkel AG &amp; Co. KGaA'!$B$2</f>
        <v>5.333333333333333</v>
      </c>
      <c r="H24" s="1" t="s">
        <v>142</v>
      </c>
      <c r="I24" s="1" t="str">
        <f t="shared" si="0"/>
        <v>Automotive</v>
      </c>
      <c r="J24" s="24" cm="1">
        <f t="array" aca="1" ref="J24" ca="1">INDIRECT("'"&amp;H24&amp;"'!$B$27")</f>
        <v>6.333333333333333</v>
      </c>
      <c r="L24" s="1" t="s">
        <v>123</v>
      </c>
      <c r="M24" s="1" t="str">
        <f t="shared" si="2"/>
        <v>Military and defense</v>
      </c>
      <c r="N24" s="24" cm="1">
        <f t="array" aca="1" ref="N24" ca="1">INDIRECT("'"&amp;L24&amp;"'!$B$28")</f>
        <v>2.5</v>
      </c>
      <c r="P24" s="1" t="s">
        <v>118</v>
      </c>
      <c r="Q24" s="1" t="str">
        <f t="shared" si="1"/>
        <v>Automotive</v>
      </c>
      <c r="R24" s="24" cm="1">
        <f t="array" aca="1" ref="R24" ca="1">INDIRECT("'"&amp;P24&amp;"'!$B$29")</f>
        <v>7</v>
      </c>
      <c r="T24" s="1" t="s">
        <v>208</v>
      </c>
      <c r="U24" s="1" t="str">
        <f t="shared" si="3"/>
        <v>Military and defense</v>
      </c>
      <c r="V24" s="37" cm="1">
        <f t="array" aca="1" ref="V24" ca="1">INDIRECT("'"&amp;T24&amp;"'!$B$30")</f>
        <v>0</v>
      </c>
    </row>
    <row r="25" spans="1:22">
      <c r="A25" s="1" t="s">
        <v>208</v>
      </c>
      <c r="B25" t="str">
        <f>VLOOKUP(A25,Sectors!$A$2:$B$51,2, FALSE)</f>
        <v>Military and defense</v>
      </c>
      <c r="C25" s="24">
        <f>'Hensoldt AG'!$B$2</f>
        <v>6.166666666666667</v>
      </c>
      <c r="H25" s="1" t="s">
        <v>138</v>
      </c>
      <c r="I25" s="1" t="str">
        <f t="shared" si="0"/>
        <v>Automotive</v>
      </c>
      <c r="J25" s="24" cm="1">
        <f t="array" aca="1" ref="J25" ca="1">INDIRECT("'"&amp;H25&amp;"'!$B$27")</f>
        <v>6.333333333333333</v>
      </c>
      <c r="L25" s="1" t="s">
        <v>168</v>
      </c>
      <c r="M25" s="1" t="str">
        <f t="shared" si="2"/>
        <v>Mechanical engineering</v>
      </c>
      <c r="N25" s="24" cm="1">
        <f t="array" aca="1" ref="N25" ca="1">INDIRECT("'"&amp;L25&amp;"'!$B$28")</f>
        <v>2.5</v>
      </c>
      <c r="P25" s="1" t="s">
        <v>197</v>
      </c>
      <c r="Q25" s="1" t="str">
        <f t="shared" si="1"/>
        <v>Mechanical engineering</v>
      </c>
      <c r="R25" s="24" cm="1">
        <f t="array" aca="1" ref="R25" ca="1">INDIRECT("'"&amp;P25&amp;"'!$B$29")</f>
        <v>7</v>
      </c>
      <c r="T25" s="1" t="s">
        <v>123</v>
      </c>
      <c r="U25" s="1" t="str">
        <f t="shared" si="3"/>
        <v>Military and defense</v>
      </c>
      <c r="V25" s="37" cm="1">
        <f t="array" aca="1" ref="V25" ca="1">INDIRECT("'"&amp;T25&amp;"'!$B$30")</f>
        <v>0</v>
      </c>
    </row>
    <row r="26" spans="1:22">
      <c r="A26" s="1" t="s">
        <v>123</v>
      </c>
      <c r="B26" t="str">
        <f>VLOOKUP(A26,Sectors!$A$2:$B$51,2, FALSE)</f>
        <v>Military and defense</v>
      </c>
      <c r="C26" s="24">
        <f>'Jenoptik AG'!$B$2</f>
        <v>5.333333333333333</v>
      </c>
      <c r="H26" s="1" t="s">
        <v>71</v>
      </c>
      <c r="I26" s="1" t="str">
        <f t="shared" si="0"/>
        <v>Electrical</v>
      </c>
      <c r="J26" s="24" cm="1">
        <f t="array" aca="1" ref="J26" ca="1">INDIRECT("'"&amp;H26&amp;"'!$B$27")</f>
        <v>6.333333333333333</v>
      </c>
      <c r="L26" s="1" t="s">
        <v>194</v>
      </c>
      <c r="M26" s="1" t="str">
        <f t="shared" si="2"/>
        <v>Chemical</v>
      </c>
      <c r="N26" s="24" cm="1">
        <f t="array" aca="1" ref="N26" ca="1">INDIRECT("'"&amp;L26&amp;"'!$B$28")</f>
        <v>2.5</v>
      </c>
      <c r="P26" s="1" t="s">
        <v>57</v>
      </c>
      <c r="Q26" s="1" t="str">
        <f t="shared" si="1"/>
        <v>Electrical</v>
      </c>
      <c r="R26" s="24" cm="1">
        <f t="array" aca="1" ref="R26" ca="1">INDIRECT("'"&amp;P26&amp;"'!$B$29")</f>
        <v>7</v>
      </c>
      <c r="T26" s="1" t="s">
        <v>155</v>
      </c>
      <c r="U26" s="1" t="str">
        <f t="shared" si="3"/>
        <v>Mechanical engineering</v>
      </c>
      <c r="V26" s="37" cm="1">
        <f t="array" aca="1" ref="V26" ca="1">INDIRECT("'"&amp;T26&amp;"'!$B$30")</f>
        <v>0</v>
      </c>
    </row>
    <row r="27" spans="1:22">
      <c r="A27" s="1" t="s">
        <v>155</v>
      </c>
      <c r="B27" t="str">
        <f>VLOOKUP(A27,Sectors!$A$2:$B$51,2, FALSE)</f>
        <v>Mechanical engineering</v>
      </c>
      <c r="C27" s="24">
        <f>'Jungheinrich AG'!$B$2</f>
        <v>4.083333333333333</v>
      </c>
      <c r="H27" s="1" t="s">
        <v>20</v>
      </c>
      <c r="I27" s="1" t="str">
        <f t="shared" si="0"/>
        <v>Electrical</v>
      </c>
      <c r="J27" s="24" cm="1">
        <f t="array" aca="1" ref="J27" ca="1">INDIRECT("'"&amp;H27&amp;"'!$B$27")</f>
        <v>6.333333333333333</v>
      </c>
      <c r="L27" s="1" t="s">
        <v>142</v>
      </c>
      <c r="M27" s="1" t="str">
        <f t="shared" si="2"/>
        <v>Automotive</v>
      </c>
      <c r="N27" s="24" cm="1">
        <f t="array" aca="1" ref="N27" ca="1">INDIRECT("'"&amp;L27&amp;"'!$B$28")</f>
        <v>2.5</v>
      </c>
      <c r="P27" s="1" t="s">
        <v>123</v>
      </c>
      <c r="Q27" s="1" t="str">
        <f t="shared" si="1"/>
        <v>Military and defense</v>
      </c>
      <c r="R27" s="24" cm="1">
        <f t="array" aca="1" ref="R27" ca="1">INDIRECT("'"&amp;P27&amp;"'!$B$29")</f>
        <v>7</v>
      </c>
      <c r="T27" s="1" t="s">
        <v>65</v>
      </c>
      <c r="U27" s="1" t="str">
        <f t="shared" si="3"/>
        <v>Mechanical engineering</v>
      </c>
      <c r="V27" s="37" cm="1">
        <f t="array" aca="1" ref="V27" ca="1">INDIRECT("'"&amp;T27&amp;"'!$B$30")</f>
        <v>0</v>
      </c>
    </row>
    <row r="28" spans="1:22">
      <c r="A28" s="1" t="s">
        <v>65</v>
      </c>
      <c r="B28" t="str">
        <f>VLOOKUP(A28,Sectors!$A$2:$B$51,2, FALSE)</f>
        <v>Mechanical engineering</v>
      </c>
      <c r="C28" s="24">
        <f>'KION Group'!$B$2</f>
        <v>5.916666666666667</v>
      </c>
      <c r="H28" s="1" t="s">
        <v>145</v>
      </c>
      <c r="I28" s="1" t="str">
        <f t="shared" si="0"/>
        <v>Mechanical engineering</v>
      </c>
      <c r="J28" s="24" cm="1">
        <f t="array" aca="1" ref="J28" ca="1">INDIRECT("'"&amp;H28&amp;"'!$B$27")</f>
        <v>6.333333333333333</v>
      </c>
      <c r="L28" s="1" t="s">
        <v>102</v>
      </c>
      <c r="M28" s="1" t="str">
        <f t="shared" si="2"/>
        <v>Automotive</v>
      </c>
      <c r="N28" s="24" cm="1">
        <f t="array" aca="1" ref="N28" ca="1">INDIRECT("'"&amp;L28&amp;"'!$B$28")</f>
        <v>2.5</v>
      </c>
      <c r="P28" s="1" t="s">
        <v>155</v>
      </c>
      <c r="Q28" s="1" t="str">
        <f t="shared" si="1"/>
        <v>Mechanical engineering</v>
      </c>
      <c r="R28" s="24" cm="1">
        <f t="array" aca="1" ref="R28" ca="1">INDIRECT("'"&amp;P28&amp;"'!$B$29")</f>
        <v>7</v>
      </c>
      <c r="T28" s="1" t="s">
        <v>42</v>
      </c>
      <c r="U28" s="1" t="str">
        <f t="shared" si="3"/>
        <v>Military and defense</v>
      </c>
      <c r="V28" s="37" cm="1">
        <f t="array" aca="1" ref="V28" ca="1">INDIRECT("'"&amp;T28&amp;"'!$B$30")</f>
        <v>0</v>
      </c>
    </row>
    <row r="29" spans="1:22">
      <c r="A29" s="1" t="s">
        <v>42</v>
      </c>
      <c r="B29" t="str">
        <f>VLOOKUP(A29,Sectors!$A$2:$B$51,2, FALSE)</f>
        <v>Military and defense</v>
      </c>
      <c r="C29" s="24">
        <f>'KNDS Group'!$B$2</f>
        <v>0</v>
      </c>
      <c r="H29" s="1" t="s">
        <v>152</v>
      </c>
      <c r="I29" s="1" t="str">
        <f t="shared" si="0"/>
        <v>Automotive</v>
      </c>
      <c r="J29" s="24" cm="1">
        <f t="array" aca="1" ref="J29" ca="1">INDIRECT("'"&amp;H29&amp;"'!$B$27")</f>
        <v>6.333333333333333</v>
      </c>
      <c r="L29" s="1" t="s">
        <v>14</v>
      </c>
      <c r="M29" s="1" t="str">
        <f t="shared" si="2"/>
        <v>Electrical</v>
      </c>
      <c r="N29" s="24" cm="1">
        <f t="array" aca="1" ref="N29" ca="1">INDIRECT("'"&amp;L29&amp;"'!$B$28")</f>
        <v>2.5</v>
      </c>
      <c r="P29" s="1" t="s">
        <v>142</v>
      </c>
      <c r="Q29" s="1" t="str">
        <f t="shared" si="1"/>
        <v>Automotive</v>
      </c>
      <c r="R29" s="24" cm="1">
        <f t="array" aca="1" ref="R29" ca="1">INDIRECT("'"&amp;P29&amp;"'!$B$29")</f>
        <v>7</v>
      </c>
      <c r="T29" s="1" t="s">
        <v>168</v>
      </c>
      <c r="U29" s="1" t="str">
        <f t="shared" si="3"/>
        <v>Mechanical engineering</v>
      </c>
      <c r="V29" s="37" cm="1">
        <f t="array" aca="1" ref="V29" ca="1">INDIRECT("'"&amp;T29&amp;"'!$B$30")</f>
        <v>0</v>
      </c>
    </row>
    <row r="30" spans="1:22">
      <c r="A30" s="1" t="s">
        <v>168</v>
      </c>
      <c r="B30" t="str">
        <f>VLOOKUP(A30,Sectors!$A$2:$B$51,2, FALSE)</f>
        <v>Mechanical engineering</v>
      </c>
      <c r="C30" s="24">
        <f>'Krones AG'!$B$2</f>
        <v>4.583333333333333</v>
      </c>
      <c r="H30" s="1" t="s">
        <v>49</v>
      </c>
      <c r="I30" s="1" t="str">
        <f t="shared" si="0"/>
        <v>Chemical</v>
      </c>
      <c r="J30" s="24" cm="1">
        <f t="array" aca="1" ref="J30" ca="1">INDIRECT("'"&amp;H30&amp;"'!$B$27")</f>
        <v>6.666666666666667</v>
      </c>
      <c r="L30" s="1" t="s">
        <v>1618</v>
      </c>
      <c r="M30" s="1" t="str">
        <f t="shared" si="2"/>
        <v>Automotive</v>
      </c>
      <c r="N30" s="24" cm="1">
        <f t="array" aca="1" ref="N30" ca="1">INDIRECT("'"&amp;L30&amp;"'!$B$28")</f>
        <v>2.5</v>
      </c>
      <c r="P30" s="1" t="s">
        <v>138</v>
      </c>
      <c r="Q30" s="1" t="str">
        <f t="shared" si="1"/>
        <v>Automotive</v>
      </c>
      <c r="R30" s="24" cm="1">
        <f t="array" aca="1" ref="R30" ca="1">INDIRECT("'"&amp;P30&amp;"'!$B$29")</f>
        <v>7</v>
      </c>
      <c r="T30" s="1" t="s">
        <v>194</v>
      </c>
      <c r="U30" s="1" t="str">
        <f t="shared" si="3"/>
        <v>Chemical</v>
      </c>
      <c r="V30" s="37" cm="1">
        <f t="array" aca="1" ref="V30" ca="1">INDIRECT("'"&amp;T30&amp;"'!$B$30")</f>
        <v>0</v>
      </c>
    </row>
    <row r="31" spans="1:22">
      <c r="A31" s="1" t="s">
        <v>194</v>
      </c>
      <c r="B31" t="str">
        <f>VLOOKUP(A31,Sectors!$A$2:$B$51,2, FALSE)</f>
        <v>Chemical</v>
      </c>
      <c r="C31" s="24">
        <f>Lanxess!$B$2</f>
        <v>4.5</v>
      </c>
      <c r="H31" s="1" t="s">
        <v>177</v>
      </c>
      <c r="I31" s="1" t="str">
        <f t="shared" si="0"/>
        <v>Electrical</v>
      </c>
      <c r="J31" s="24" cm="1">
        <f t="array" aca="1" ref="J31" ca="1">INDIRECT("'"&amp;H31&amp;"'!$B$27")</f>
        <v>7</v>
      </c>
      <c r="L31" s="1" t="s">
        <v>71</v>
      </c>
      <c r="M31" s="1" t="str">
        <f t="shared" si="2"/>
        <v>Electrical</v>
      </c>
      <c r="N31" s="24" cm="1">
        <f t="array" aca="1" ref="N31" ca="1">INDIRECT("'"&amp;L31&amp;"'!$B$28")</f>
        <v>2.5</v>
      </c>
      <c r="P31" s="1" t="s">
        <v>14</v>
      </c>
      <c r="Q31" s="1" t="str">
        <f t="shared" si="1"/>
        <v>Electrical</v>
      </c>
      <c r="R31" s="24" cm="1">
        <f t="array" aca="1" ref="R31" ca="1">INDIRECT("'"&amp;P31&amp;"'!$B$29")</f>
        <v>7</v>
      </c>
      <c r="T31" s="1" t="s">
        <v>33</v>
      </c>
      <c r="U31" s="1" t="str">
        <f t="shared" si="3"/>
        <v>Military and defense</v>
      </c>
      <c r="V31" s="37" cm="1">
        <f t="array" aca="1" ref="V31" ca="1">INDIRECT("'"&amp;T31&amp;"'!$B$30")</f>
        <v>0</v>
      </c>
    </row>
    <row r="32" spans="1:22">
      <c r="A32" s="1" t="s">
        <v>33</v>
      </c>
      <c r="B32" t="str">
        <f>VLOOKUP(A32,Sectors!$A$2:$B$51,2, FALSE)</f>
        <v>Military and defense</v>
      </c>
      <c r="C32" s="24">
        <f>Leonardo!$B$2</f>
        <v>3.6666666666666665</v>
      </c>
      <c r="H32" s="1" t="s">
        <v>87</v>
      </c>
      <c r="I32" s="1" t="str">
        <f t="shared" si="0"/>
        <v>Chemical</v>
      </c>
      <c r="J32" s="24" cm="1">
        <f t="array" aca="1" ref="J32" ca="1">INDIRECT("'"&amp;H32&amp;"'!$B$27")</f>
        <v>8</v>
      </c>
      <c r="L32" s="1" t="s">
        <v>129</v>
      </c>
      <c r="M32" s="1" t="str">
        <f t="shared" si="2"/>
        <v>Mechanical engineering</v>
      </c>
      <c r="N32" s="24" cm="1">
        <f t="array" aca="1" ref="N32" ca="1">INDIRECT("'"&amp;L32&amp;"'!$B$28")</f>
        <v>2.5</v>
      </c>
      <c r="P32" s="1" t="s">
        <v>145</v>
      </c>
      <c r="Q32" s="1" t="str">
        <f t="shared" si="1"/>
        <v>Mechanical engineering</v>
      </c>
      <c r="R32" s="24" cm="1">
        <f t="array" aca="1" ref="R32" ca="1">INDIRECT("'"&amp;P32&amp;"'!$B$29")</f>
        <v>7</v>
      </c>
      <c r="T32" s="1" t="s">
        <v>142</v>
      </c>
      <c r="U32" s="1" t="str">
        <f t="shared" si="3"/>
        <v>Automotive</v>
      </c>
      <c r="V32" s="37" cm="1">
        <f t="array" aca="1" ref="V32" ca="1">INDIRECT("'"&amp;T32&amp;"'!$B$30")</f>
        <v>0</v>
      </c>
    </row>
    <row r="33" spans="1:22">
      <c r="A33" s="1" t="s">
        <v>38</v>
      </c>
      <c r="B33" t="str">
        <f>VLOOKUP(A33,Sectors!$A$2:$B$51,2, FALSE)</f>
        <v>Military and defense</v>
      </c>
      <c r="C33" s="24">
        <f>'Lockheed Martin'!$B$2</f>
        <v>7.083333333333333</v>
      </c>
      <c r="H33" s="1" t="s">
        <v>201</v>
      </c>
      <c r="I33" s="1" t="str">
        <f t="shared" si="0"/>
        <v>Chemical</v>
      </c>
      <c r="J33" s="24" cm="1">
        <f t="array" aca="1" ref="J33" ca="1">INDIRECT("'"&amp;H33&amp;"'!$B$27")</f>
        <v>8</v>
      </c>
      <c r="L33" s="1" t="s">
        <v>83</v>
      </c>
      <c r="M33" s="1" t="str">
        <f t="shared" si="2"/>
        <v>Electrical</v>
      </c>
      <c r="N33" s="24" cm="1">
        <f t="array" aca="1" ref="N33" ca="1">INDIRECT("'"&amp;L33&amp;"'!$B$28")</f>
        <v>2.5</v>
      </c>
      <c r="P33" s="1" t="s">
        <v>177</v>
      </c>
      <c r="Q33" s="1" t="str">
        <f t="shared" si="1"/>
        <v>Electrical</v>
      </c>
      <c r="R33" s="24" cm="1">
        <f t="array" aca="1" ref="R33" ca="1">INDIRECT("'"&amp;P33&amp;"'!$B$29")</f>
        <v>8</v>
      </c>
      <c r="T33" s="1" t="s">
        <v>102</v>
      </c>
      <c r="U33" s="1" t="str">
        <f t="shared" si="3"/>
        <v>Automotive</v>
      </c>
      <c r="V33" s="37" cm="1">
        <f t="array" aca="1" ref="V33" ca="1">INDIRECT("'"&amp;T33&amp;"'!$B$30")</f>
        <v>0</v>
      </c>
    </row>
    <row r="34" spans="1:22">
      <c r="A34" s="1" t="s">
        <v>142</v>
      </c>
      <c r="B34" t="str">
        <f>VLOOKUP(A34,Sectors!$A$2:$B$51,2, FALSE)</f>
        <v>Automotive</v>
      </c>
      <c r="C34" s="24">
        <f>'Mahle GmbH'!$B$2</f>
        <v>4.916666666666667</v>
      </c>
      <c r="H34" s="1" t="s">
        <v>126</v>
      </c>
      <c r="I34" s="1" t="str">
        <f t="shared" ref="I34:I51" si="4">VLOOKUP(H34,$A$1:$B$51,2, FALSE)</f>
        <v>Automotive</v>
      </c>
      <c r="J34" s="24" cm="1">
        <f t="array" aca="1" ref="J34" ca="1">INDIRECT("'"&amp;H34&amp;"'!$B$27")</f>
        <v>8</v>
      </c>
      <c r="L34" s="1" t="s">
        <v>112</v>
      </c>
      <c r="M34" s="1" t="str">
        <f t="shared" si="2"/>
        <v>Automotive</v>
      </c>
      <c r="N34" s="24" cm="1">
        <f t="array" aca="1" ref="N34" ca="1">INDIRECT("'"&amp;L34&amp;"'!$B$28")</f>
        <v>2.5</v>
      </c>
      <c r="P34" s="1" t="s">
        <v>1405</v>
      </c>
      <c r="Q34" s="1" t="str">
        <f t="shared" ref="Q34:Q51" si="5">VLOOKUP(P34,$A$1:$B$51,2, FALSE)</f>
        <v>Mechanical engineering</v>
      </c>
      <c r="R34" s="24" cm="1">
        <f t="array" aca="1" ref="R34" ca="1">INDIRECT("'"&amp;P34&amp;"'!$B$29")</f>
        <v>8</v>
      </c>
      <c r="T34" s="1" t="s">
        <v>49</v>
      </c>
      <c r="U34" s="1" t="str">
        <f t="shared" si="3"/>
        <v>Chemical</v>
      </c>
      <c r="V34" s="37" cm="1">
        <f t="array" aca="1" ref="V34" ca="1">INDIRECT("'"&amp;T34&amp;"'!$B$30")</f>
        <v>0</v>
      </c>
    </row>
    <row r="35" spans="1:22">
      <c r="A35" s="1" t="s">
        <v>102</v>
      </c>
      <c r="B35" t="str">
        <f>VLOOKUP(A35,Sectors!$A$2:$B$51,2, FALSE)</f>
        <v>Automotive</v>
      </c>
      <c r="C35" s="24">
        <f>'Mercedes-Benz AG'!$B$2</f>
        <v>6.166666666666667</v>
      </c>
      <c r="H35" s="1" t="s">
        <v>118</v>
      </c>
      <c r="I35" s="1" t="str">
        <f t="shared" si="4"/>
        <v>Automotive</v>
      </c>
      <c r="J35" s="24" cm="1">
        <f t="array" aca="1" ref="J35" ca="1">INDIRECT("'"&amp;H35&amp;"'!$B$27")</f>
        <v>8</v>
      </c>
      <c r="L35" s="1" t="s">
        <v>24</v>
      </c>
      <c r="M35" s="1" t="str">
        <f t="shared" si="2"/>
        <v>Chemical</v>
      </c>
      <c r="N35" s="24" cm="1">
        <f t="array" aca="1" ref="N35" ca="1">INDIRECT("'"&amp;L35&amp;"'!$B$28")</f>
        <v>2.5</v>
      </c>
      <c r="P35" s="1" t="s">
        <v>135</v>
      </c>
      <c r="Q35" s="1" t="str">
        <f t="shared" si="5"/>
        <v>Mechanical engineering</v>
      </c>
      <c r="R35" s="24" cm="1">
        <f t="array" aca="1" ref="R35" ca="1">INDIRECT("'"&amp;P35&amp;"'!$B$29")</f>
        <v>8</v>
      </c>
      <c r="T35" s="1" t="s">
        <v>79</v>
      </c>
      <c r="U35" s="1" t="str">
        <f t="shared" si="3"/>
        <v>Military and defense</v>
      </c>
      <c r="V35" s="37" cm="1">
        <f t="array" aca="1" ref="V35" ca="1">INDIRECT("'"&amp;T35&amp;"'!$B$30")</f>
        <v>0</v>
      </c>
    </row>
    <row r="36" spans="1:22">
      <c r="A36" s="1" t="s">
        <v>49</v>
      </c>
      <c r="B36" t="str">
        <f>VLOOKUP(A36,Sectors!$A$2:$B$51,2, FALSE)</f>
        <v>Chemical</v>
      </c>
      <c r="C36" s="24">
        <f>'Merck KGaA'!$B$2</f>
        <v>6.25</v>
      </c>
      <c r="H36" s="1" t="s">
        <v>135</v>
      </c>
      <c r="I36" s="1" t="str">
        <f t="shared" si="4"/>
        <v>Mechanical engineering</v>
      </c>
      <c r="J36" s="24" cm="1">
        <f t="array" aca="1" ref="J36" ca="1">INDIRECT("'"&amp;H36&amp;"'!$B$27")</f>
        <v>8</v>
      </c>
      <c r="L36" s="1" t="s">
        <v>182</v>
      </c>
      <c r="M36" s="1" t="str">
        <f t="shared" si="2"/>
        <v>Electrical</v>
      </c>
      <c r="N36" s="24" cm="1">
        <f t="array" aca="1" ref="N36" ca="1">INDIRECT("'"&amp;L36&amp;"'!$B$28")</f>
        <v>5</v>
      </c>
      <c r="P36" s="1" t="s">
        <v>172</v>
      </c>
      <c r="Q36" s="1" t="str">
        <f t="shared" si="5"/>
        <v>Chemical</v>
      </c>
      <c r="R36" s="24" cm="1">
        <f t="array" aca="1" ref="R36" ca="1">INDIRECT("'"&amp;P36&amp;"'!$B$29")</f>
        <v>8</v>
      </c>
      <c r="T36" s="1" t="s">
        <v>138</v>
      </c>
      <c r="U36" s="1" t="str">
        <f t="shared" si="3"/>
        <v>Automotive</v>
      </c>
      <c r="V36" s="37" cm="1">
        <f t="array" aca="1" ref="V36" ca="1">INDIRECT("'"&amp;T36&amp;"'!$B$30")</f>
        <v>0</v>
      </c>
    </row>
    <row r="37" spans="1:22">
      <c r="A37" s="1" t="s">
        <v>79</v>
      </c>
      <c r="B37" t="str">
        <f>VLOOKUP(A37,Sectors!$A$2:$B$51,2, FALSE)</f>
        <v>Military and defense</v>
      </c>
      <c r="C37" s="24">
        <f>'Rheinmetall AG'!$B$2</f>
        <v>4.083333333333333</v>
      </c>
      <c r="H37" s="1" t="s">
        <v>123</v>
      </c>
      <c r="I37" s="1" t="str">
        <f t="shared" si="4"/>
        <v>Military and defense</v>
      </c>
      <c r="J37" s="24" cm="1">
        <f t="array" aca="1" ref="J37" ca="1">INDIRECT("'"&amp;H37&amp;"'!$B$27")</f>
        <v>8</v>
      </c>
      <c r="L37" s="1" t="s">
        <v>57</v>
      </c>
      <c r="M37" s="1" t="str">
        <f t="shared" si="2"/>
        <v>Electrical</v>
      </c>
      <c r="N37" s="24" cm="1">
        <f t="array" aca="1" ref="N37" ca="1">INDIRECT("'"&amp;L37&amp;"'!$B$28")</f>
        <v>5</v>
      </c>
      <c r="P37" s="1" t="s">
        <v>38</v>
      </c>
      <c r="Q37" s="1" t="str">
        <f t="shared" si="5"/>
        <v>Military and defense</v>
      </c>
      <c r="R37" s="24" cm="1">
        <f t="array" aca="1" ref="R37" ca="1">INDIRECT("'"&amp;P37&amp;"'!$B$29")</f>
        <v>8</v>
      </c>
      <c r="T37" s="1" t="s">
        <v>1408</v>
      </c>
      <c r="U37" s="1" t="str">
        <f t="shared" si="3"/>
        <v>Military and defense</v>
      </c>
      <c r="V37" s="37" cm="1">
        <f t="array" aca="1" ref="V37" ca="1">INDIRECT("'"&amp;T37&amp;"'!$B$30")</f>
        <v>0</v>
      </c>
    </row>
    <row r="38" spans="1:22">
      <c r="A38" s="1" t="s">
        <v>138</v>
      </c>
      <c r="B38" t="str">
        <f>VLOOKUP(A38,Sectors!$A$2:$B$51,2, FALSE)</f>
        <v>Automotive</v>
      </c>
      <c r="C38" s="24">
        <f>'Robert Bosch GmbH'!$B$2</f>
        <v>5.75</v>
      </c>
      <c r="H38" s="1" t="s">
        <v>194</v>
      </c>
      <c r="I38" s="1" t="str">
        <f t="shared" si="4"/>
        <v>Chemical</v>
      </c>
      <c r="J38" s="24" cm="1">
        <f t="array" aca="1" ref="J38" ca="1">INDIRECT("'"&amp;H38&amp;"'!$B$27")</f>
        <v>8</v>
      </c>
      <c r="L38" s="1" t="s">
        <v>74</v>
      </c>
      <c r="M38" s="1" t="str">
        <f t="shared" si="2"/>
        <v>Military and defense</v>
      </c>
      <c r="N38" s="24" cm="1">
        <f t="array" aca="1" ref="N38" ca="1">INDIRECT("'"&amp;L38&amp;"'!$B$28")</f>
        <v>7.5</v>
      </c>
      <c r="P38" s="1" t="s">
        <v>49</v>
      </c>
      <c r="Q38" s="1" t="str">
        <f t="shared" si="5"/>
        <v>Chemical</v>
      </c>
      <c r="R38" s="24" cm="1">
        <f t="array" aca="1" ref="R38" ca="1">INDIRECT("'"&amp;P38&amp;"'!$B$29")</f>
        <v>8</v>
      </c>
      <c r="T38" s="1" t="s">
        <v>14</v>
      </c>
      <c r="U38" s="1" t="str">
        <f t="shared" si="3"/>
        <v>Electrical</v>
      </c>
      <c r="V38" s="37" cm="1">
        <f t="array" aca="1" ref="V38" ca="1">INDIRECT("'"&amp;T38&amp;"'!$B$30")</f>
        <v>0</v>
      </c>
    </row>
    <row r="39" spans="1:22">
      <c r="A39" s="1" t="s">
        <v>1408</v>
      </c>
      <c r="B39" t="str">
        <f>VLOOKUP(A39,Sectors!$A$2:$B$51,2, FALSE)</f>
        <v>Military and defense</v>
      </c>
      <c r="C39" s="24">
        <f>'RTX Corporation'!$B$2</f>
        <v>2.8333333333333335</v>
      </c>
      <c r="H39" s="1" t="s">
        <v>33</v>
      </c>
      <c r="I39" s="1" t="str">
        <f t="shared" si="4"/>
        <v>Military and defense</v>
      </c>
      <c r="J39" s="24" cm="1">
        <f t="array" aca="1" ref="J39" ca="1">INDIRECT("'"&amp;H39&amp;"'!$B$27")</f>
        <v>8</v>
      </c>
      <c r="L39" s="1" t="s">
        <v>108</v>
      </c>
      <c r="M39" s="1" t="str">
        <f t="shared" si="2"/>
        <v>Chemical</v>
      </c>
      <c r="N39" s="24" cm="1">
        <f t="array" aca="1" ref="N39" ca="1">INDIRECT("'"&amp;L39&amp;"'!$B$28")</f>
        <v>7.5</v>
      </c>
      <c r="P39" s="1" t="s">
        <v>79</v>
      </c>
      <c r="Q39" s="1" t="str">
        <f t="shared" si="5"/>
        <v>Military and defense</v>
      </c>
      <c r="R39" s="24" cm="1">
        <f t="array" aca="1" ref="R39" ca="1">INDIRECT("'"&amp;P39&amp;"'!$B$29")</f>
        <v>8</v>
      </c>
      <c r="T39" s="1" t="s">
        <v>1618</v>
      </c>
      <c r="U39" s="1" t="str">
        <f t="shared" si="3"/>
        <v>Automotive</v>
      </c>
      <c r="V39" s="37" cm="1">
        <f t="array" aca="1" ref="V39" ca="1">INDIRECT("'"&amp;T39&amp;"'!$B$30")</f>
        <v>0</v>
      </c>
    </row>
    <row r="40" spans="1:22">
      <c r="A40" s="1" t="s">
        <v>14</v>
      </c>
      <c r="B40" t="str">
        <f>VLOOKUP(A40,Sectors!$A$2:$B$51,2, FALSE)</f>
        <v>Electrical</v>
      </c>
      <c r="C40" s="24">
        <f>'RWE Group'!$B$2</f>
        <v>5.333333333333333</v>
      </c>
      <c r="H40" s="1" t="s">
        <v>102</v>
      </c>
      <c r="I40" s="1" t="str">
        <f t="shared" si="4"/>
        <v>Automotive</v>
      </c>
      <c r="J40" s="24" cm="1">
        <f t="array" aca="1" ref="J40" ca="1">INDIRECT("'"&amp;H40&amp;"'!$B$27")</f>
        <v>8</v>
      </c>
      <c r="L40" s="1" t="s">
        <v>92</v>
      </c>
      <c r="M40" s="1" t="str">
        <f t="shared" si="2"/>
        <v>Automotive</v>
      </c>
      <c r="N40" s="24" cm="1">
        <f t="array" aca="1" ref="N40" ca="1">INDIRECT("'"&amp;L40&amp;"'!$B$28")</f>
        <v>7.5</v>
      </c>
      <c r="P40" s="1" t="s">
        <v>1618</v>
      </c>
      <c r="Q40" s="1" t="str">
        <f t="shared" si="5"/>
        <v>Automotive</v>
      </c>
      <c r="R40" s="24" cm="1">
        <f t="array" aca="1" ref="R40" ca="1">INDIRECT("'"&amp;P40&amp;"'!$B$29")</f>
        <v>8</v>
      </c>
      <c r="T40" s="1" t="s">
        <v>148</v>
      </c>
      <c r="U40" s="1" t="str">
        <f t="shared" si="3"/>
        <v>Mechanical engineering</v>
      </c>
      <c r="V40" s="37" cm="1">
        <f t="array" aca="1" ref="V40" ca="1">INDIRECT("'"&amp;T40&amp;"'!$B$30")</f>
        <v>0</v>
      </c>
    </row>
    <row r="41" spans="1:22">
      <c r="A41" s="3" t="s">
        <v>1618</v>
      </c>
      <c r="B41" t="str">
        <f>VLOOKUP(A41,Sectors!$A$2:$B$51,2, FALSE)</f>
        <v>Automotive</v>
      </c>
      <c r="C41" s="24">
        <f>'Schaeffler Technologies'!$B$2</f>
        <v>5.75</v>
      </c>
      <c r="H41" s="1" t="s">
        <v>14</v>
      </c>
      <c r="I41" s="1" t="str">
        <f t="shared" si="4"/>
        <v>Electrical</v>
      </c>
      <c r="J41" s="24" cm="1">
        <f t="array" aca="1" ref="J41" ca="1">INDIRECT("'"&amp;H41&amp;"'!$B$27")</f>
        <v>8</v>
      </c>
      <c r="L41" s="1" t="s">
        <v>118</v>
      </c>
      <c r="M41" s="1" t="str">
        <f t="shared" si="2"/>
        <v>Automotive</v>
      </c>
      <c r="N41" s="24" cm="1">
        <f t="array" aca="1" ref="N41" ca="1">INDIRECT("'"&amp;L41&amp;"'!$B$28")</f>
        <v>7.5</v>
      </c>
      <c r="P41" s="1" t="s">
        <v>148</v>
      </c>
      <c r="Q41" s="1" t="str">
        <f t="shared" si="5"/>
        <v>Mechanical engineering</v>
      </c>
      <c r="R41" s="24" cm="1">
        <f t="array" aca="1" ref="R41" ca="1">INDIRECT("'"&amp;P41&amp;"'!$B$29")</f>
        <v>8</v>
      </c>
      <c r="T41" s="1" t="s">
        <v>71</v>
      </c>
      <c r="U41" s="1" t="str">
        <f t="shared" si="3"/>
        <v>Electrical</v>
      </c>
      <c r="V41" s="37" cm="1">
        <f t="array" aca="1" ref="V41" ca="1">INDIRECT("'"&amp;T41&amp;"'!$B$30")</f>
        <v>0</v>
      </c>
    </row>
    <row r="42" spans="1:22">
      <c r="A42" s="1" t="s">
        <v>148</v>
      </c>
      <c r="B42" t="str">
        <f>VLOOKUP(A42,Sectors!$A$2:$B$51,2, FALSE)</f>
        <v>Mechanical engineering</v>
      </c>
      <c r="C42" s="24">
        <f>'Siemens AG'!$B$2</f>
        <v>6.583333333333333</v>
      </c>
      <c r="H42" s="1" t="s">
        <v>1618</v>
      </c>
      <c r="I42" s="1" t="str">
        <f t="shared" si="4"/>
        <v>Automotive</v>
      </c>
      <c r="J42" s="24" cm="1">
        <f t="array" aca="1" ref="J42" ca="1">INDIRECT("'"&amp;H42&amp;"'!$B$27")</f>
        <v>8</v>
      </c>
      <c r="L42" s="1" t="s">
        <v>197</v>
      </c>
      <c r="M42" s="1" t="str">
        <f t="shared" si="2"/>
        <v>Mechanical engineering</v>
      </c>
      <c r="N42" s="24" cm="1">
        <f t="array" aca="1" ref="N42" ca="1">INDIRECT("'"&amp;L42&amp;"'!$B$28")</f>
        <v>7.5</v>
      </c>
      <c r="P42" s="1" t="s">
        <v>20</v>
      </c>
      <c r="Q42" s="1" t="str">
        <f t="shared" si="5"/>
        <v>Electrical</v>
      </c>
      <c r="R42" s="24" cm="1">
        <f t="array" aca="1" ref="R42" ca="1">INDIRECT("'"&amp;P42&amp;"'!$B$29")</f>
        <v>8</v>
      </c>
      <c r="T42" s="1" t="s">
        <v>61</v>
      </c>
      <c r="U42" s="1" t="str">
        <f t="shared" si="3"/>
        <v>Electrical</v>
      </c>
      <c r="V42" s="37" cm="1">
        <f t="array" aca="1" ref="V42" ca="1">INDIRECT("'"&amp;T42&amp;"'!$B$30")</f>
        <v>0</v>
      </c>
    </row>
    <row r="43" spans="1:22">
      <c r="A43" s="1" t="s">
        <v>71</v>
      </c>
      <c r="B43" t="str">
        <f>VLOOKUP(A43,Sectors!$A$2:$B$51,2, FALSE)</f>
        <v>Electrical</v>
      </c>
      <c r="C43" s="24">
        <f>'Siemens Energy AG'!$B$2</f>
        <v>3.6666666666666665</v>
      </c>
      <c r="H43" s="1" t="s">
        <v>148</v>
      </c>
      <c r="I43" s="1" t="str">
        <f t="shared" si="4"/>
        <v>Mechanical engineering</v>
      </c>
      <c r="J43" s="24" cm="1">
        <f t="array" aca="1" ref="J43" ca="1">INDIRECT("'"&amp;H43&amp;"'!$B$27")</f>
        <v>8</v>
      </c>
      <c r="L43" s="1" t="s">
        <v>177</v>
      </c>
      <c r="M43" s="1" t="str">
        <f t="shared" si="2"/>
        <v>Electrical</v>
      </c>
      <c r="N43" s="24" cm="1">
        <f t="array" aca="1" ref="N43" ca="1">INDIRECT("'"&amp;L43&amp;"'!$B$28")</f>
        <v>7.5</v>
      </c>
      <c r="P43" s="1" t="s">
        <v>112</v>
      </c>
      <c r="Q43" s="1" t="str">
        <f t="shared" si="5"/>
        <v>Automotive</v>
      </c>
      <c r="R43" s="24" cm="1">
        <f t="array" aca="1" ref="R43" ca="1">INDIRECT("'"&amp;P43&amp;"'!$B$29")</f>
        <v>8</v>
      </c>
      <c r="T43" s="1" t="s">
        <v>20</v>
      </c>
      <c r="U43" s="1" t="str">
        <f t="shared" si="3"/>
        <v>Electrical</v>
      </c>
      <c r="V43" s="37" cm="1">
        <f t="array" aca="1" ref="V43" ca="1">INDIRECT("'"&amp;T43&amp;"'!$B$30")</f>
        <v>0</v>
      </c>
    </row>
    <row r="44" spans="1:22">
      <c r="A44" s="1" t="s">
        <v>61</v>
      </c>
      <c r="B44" t="str">
        <f>VLOOKUP(A44,Sectors!$A$2:$B$51,2, FALSE)</f>
        <v>Electrical</v>
      </c>
      <c r="C44" s="24">
        <f>'Stadtwerke Munchen GmbH'!$B$2</f>
        <v>4.083333333333333</v>
      </c>
      <c r="H44" s="1" t="s">
        <v>129</v>
      </c>
      <c r="I44" s="1" t="str">
        <f t="shared" si="4"/>
        <v>Mechanical engineering</v>
      </c>
      <c r="J44" s="24" cm="1">
        <f t="array" aca="1" ref="J44" ca="1">INDIRECT("'"&amp;H44&amp;"'!$B$27")</f>
        <v>8</v>
      </c>
      <c r="L44" s="1" t="s">
        <v>49</v>
      </c>
      <c r="M44" s="1" t="str">
        <f t="shared" si="2"/>
        <v>Chemical</v>
      </c>
      <c r="N44" s="24" cm="1">
        <f t="array" aca="1" ref="N44" ca="1">INDIRECT("'"&amp;L44&amp;"'!$B$28")</f>
        <v>7.5</v>
      </c>
      <c r="P44" s="1" t="s">
        <v>65</v>
      </c>
      <c r="Q44" s="1" t="str">
        <f t="shared" si="5"/>
        <v>Mechanical engineering</v>
      </c>
      <c r="R44" s="24" cm="1">
        <f t="array" aca="1" ref="R44" ca="1">INDIRECT("'"&amp;P44&amp;"'!$B$29")</f>
        <v>9</v>
      </c>
      <c r="T44" s="1" t="s">
        <v>129</v>
      </c>
      <c r="U44" s="1" t="str">
        <f t="shared" si="3"/>
        <v>Mechanical engineering</v>
      </c>
      <c r="V44" s="37" cm="1">
        <f t="array" aca="1" ref="V44" ca="1">INDIRECT("'"&amp;T44&amp;"'!$B$30")</f>
        <v>0</v>
      </c>
    </row>
    <row r="45" spans="1:22">
      <c r="A45" s="3" t="s">
        <v>20</v>
      </c>
      <c r="B45" t="str">
        <f>VLOOKUP(A45,Sectors!$A$2:$B$51,2, FALSE)</f>
        <v>Electrical</v>
      </c>
      <c r="C45" s="24">
        <f>'Th√ºga Holding'!$B$2</f>
        <v>6.166666666666667</v>
      </c>
      <c r="H45" s="1" t="s">
        <v>83</v>
      </c>
      <c r="I45" s="1" t="str">
        <f t="shared" si="4"/>
        <v>Electrical</v>
      </c>
      <c r="J45" s="24" cm="1">
        <f t="array" aca="1" ref="J45" ca="1">INDIRECT("'"&amp;H45&amp;"'!$B$27")</f>
        <v>8</v>
      </c>
      <c r="L45" s="1" t="s">
        <v>138</v>
      </c>
      <c r="M45" s="1" t="str">
        <f t="shared" si="2"/>
        <v>Automotive</v>
      </c>
      <c r="N45" s="24" cm="1">
        <f t="array" aca="1" ref="N45" ca="1">INDIRECT("'"&amp;L45&amp;"'!$B$28")</f>
        <v>7.5</v>
      </c>
      <c r="P45" s="1" t="s">
        <v>102</v>
      </c>
      <c r="Q45" s="1" t="str">
        <f t="shared" si="5"/>
        <v>Automotive</v>
      </c>
      <c r="R45" s="24" cm="1">
        <f t="array" aca="1" ref="R45" ca="1">INDIRECT("'"&amp;P45&amp;"'!$B$29")</f>
        <v>9</v>
      </c>
      <c r="T45" s="1" t="s">
        <v>83</v>
      </c>
      <c r="U45" s="1" t="str">
        <f t="shared" si="3"/>
        <v>Electrical</v>
      </c>
      <c r="V45" s="37" cm="1">
        <f t="array" aca="1" ref="V45" ca="1">INDIRECT("'"&amp;T45&amp;"'!$B$30")</f>
        <v>0</v>
      </c>
    </row>
    <row r="46" spans="1:22">
      <c r="A46" s="1" t="s">
        <v>129</v>
      </c>
      <c r="B46" t="str">
        <f>VLOOKUP(A46,Sectors!$A$2:$B$51,2, FALSE)</f>
        <v>Mechanical engineering</v>
      </c>
      <c r="C46" s="24">
        <f>'ThyssenKrupp Group'!$B$2</f>
        <v>4.916666666666667</v>
      </c>
      <c r="H46" s="1" t="s">
        <v>112</v>
      </c>
      <c r="I46" s="1" t="str">
        <f t="shared" si="4"/>
        <v>Automotive</v>
      </c>
      <c r="J46" s="24" cm="1">
        <f t="array" aca="1" ref="J46" ca="1">INDIRECT("'"&amp;H46&amp;"'!$B$27")</f>
        <v>8</v>
      </c>
      <c r="L46" s="1" t="s">
        <v>1408</v>
      </c>
      <c r="M46" s="1" t="str">
        <f t="shared" si="2"/>
        <v>Military and defense</v>
      </c>
      <c r="N46" s="24" cm="1">
        <f t="array" aca="1" ref="N46" ca="1">INDIRECT("'"&amp;L46&amp;"'!$B$28")</f>
        <v>7.5</v>
      </c>
      <c r="P46" s="1" t="s">
        <v>24</v>
      </c>
      <c r="Q46" s="1" t="str">
        <f t="shared" si="5"/>
        <v>Chemical</v>
      </c>
      <c r="R46" s="24" cm="1">
        <f t="array" aca="1" ref="R46" ca="1">INDIRECT("'"&amp;P46&amp;"'!$B$29")</f>
        <v>9</v>
      </c>
      <c r="T46" s="1" t="s">
        <v>145</v>
      </c>
      <c r="U46" s="1" t="str">
        <f t="shared" si="3"/>
        <v>Mechanical engineering</v>
      </c>
      <c r="V46" s="37" cm="1">
        <f t="array" aca="1" ref="V46" ca="1">INDIRECT("'"&amp;T46&amp;"'!$B$30")</f>
        <v>0</v>
      </c>
    </row>
    <row r="47" spans="1:22">
      <c r="A47" s="1" t="s">
        <v>83</v>
      </c>
      <c r="B47" t="str">
        <f>VLOOKUP(A47,Sectors!$A$2:$B$51,2, FALSE)</f>
        <v>Electrical</v>
      </c>
      <c r="C47" s="24">
        <f>'Uniper SE'!$B$2</f>
        <v>4.916666666666667</v>
      </c>
      <c r="H47" s="1" t="s">
        <v>24</v>
      </c>
      <c r="I47" s="1" t="str">
        <f t="shared" si="4"/>
        <v>Chemical</v>
      </c>
      <c r="J47" s="24" cm="1">
        <f t="array" aca="1" ref="J47" ca="1">INDIRECT("'"&amp;H47&amp;"'!$B$27")</f>
        <v>8</v>
      </c>
      <c r="L47" s="1" t="s">
        <v>148</v>
      </c>
      <c r="M47" s="1" t="str">
        <f t="shared" si="2"/>
        <v>Mechanical engineering</v>
      </c>
      <c r="N47" s="24" cm="1">
        <f t="array" aca="1" ref="N47" ca="1">INDIRECT("'"&amp;L47&amp;"'!$B$28")</f>
        <v>7.5</v>
      </c>
      <c r="P47" s="1" t="s">
        <v>208</v>
      </c>
      <c r="Q47" s="1" t="str">
        <f t="shared" si="5"/>
        <v>Military and defense</v>
      </c>
      <c r="R47" s="24" cm="1">
        <f t="array" aca="1" ref="R47" ca="1">INDIRECT("'"&amp;P47&amp;"'!$B$29")</f>
        <v>10</v>
      </c>
      <c r="T47" s="1" t="s">
        <v>112</v>
      </c>
      <c r="U47" s="1" t="str">
        <f t="shared" si="3"/>
        <v>Automotive</v>
      </c>
      <c r="V47" s="37" cm="1">
        <f t="array" aca="1" ref="V47" ca="1">INDIRECT("'"&amp;T47&amp;"'!$B$30")</f>
        <v>0</v>
      </c>
    </row>
    <row r="48" spans="1:22">
      <c r="A48" s="1" t="s">
        <v>145</v>
      </c>
      <c r="B48" t="str">
        <f>VLOOKUP(A48,Sectors!$A$2:$B$51,2, FALSE)</f>
        <v>Mechanical engineering</v>
      </c>
      <c r="C48" s="24">
        <f>Voith!$B$2</f>
        <v>5.75</v>
      </c>
      <c r="H48" s="1" t="s">
        <v>92</v>
      </c>
      <c r="I48" s="1" t="str">
        <f t="shared" si="4"/>
        <v>Automotive</v>
      </c>
      <c r="J48" s="24" cm="1">
        <f t="array" aca="1" ref="J48" ca="1">INDIRECT("'"&amp;H48&amp;"'!$B$27")</f>
        <v>8.3333333333333339</v>
      </c>
      <c r="L48" s="1" t="s">
        <v>61</v>
      </c>
      <c r="M48" s="1" t="str">
        <f t="shared" si="2"/>
        <v>Electrical</v>
      </c>
      <c r="N48" s="24" cm="1">
        <f t="array" aca="1" ref="N48" ca="1">INDIRECT("'"&amp;L48&amp;"'!$B$28")</f>
        <v>7.5</v>
      </c>
      <c r="P48" s="1" t="s">
        <v>108</v>
      </c>
      <c r="Q48" s="1" t="str">
        <f t="shared" si="5"/>
        <v>Chemical</v>
      </c>
      <c r="R48" s="24" cm="1">
        <f t="array" aca="1" ref="R48" ca="1">INDIRECT("'"&amp;P48&amp;"'!$B$29")</f>
        <v>10</v>
      </c>
      <c r="T48" s="1" t="s">
        <v>24</v>
      </c>
      <c r="U48" s="1" t="str">
        <f t="shared" si="3"/>
        <v>Chemical</v>
      </c>
      <c r="V48" s="37" cm="1">
        <f t="array" aca="1" ref="V48" ca="1">INDIRECT("'"&amp;T48&amp;"'!$B$30")</f>
        <v>0</v>
      </c>
    </row>
    <row r="49" spans="1:22">
      <c r="A49" s="1" t="s">
        <v>112</v>
      </c>
      <c r="B49" t="str">
        <f>VLOOKUP(A49,Sectors!$A$2:$B$51,2, FALSE)</f>
        <v>Automotive</v>
      </c>
      <c r="C49" s="24">
        <f>'Volkswagen AG'!$B$2</f>
        <v>5.75</v>
      </c>
      <c r="H49" s="1" t="s">
        <v>168</v>
      </c>
      <c r="I49" s="1" t="str">
        <f t="shared" si="4"/>
        <v>Mechanical engineering</v>
      </c>
      <c r="J49" s="24" cm="1">
        <f t="array" aca="1" ref="J49" ca="1">INDIRECT("'"&amp;H49&amp;"'!$B$27")</f>
        <v>8.3333333333333339</v>
      </c>
      <c r="L49" s="1" t="s">
        <v>20</v>
      </c>
      <c r="M49" s="1" t="str">
        <f t="shared" si="2"/>
        <v>Electrical</v>
      </c>
      <c r="N49" s="24" cm="1">
        <f t="array" aca="1" ref="N49" ca="1">INDIRECT("'"&amp;L49&amp;"'!$B$28")</f>
        <v>7.5</v>
      </c>
      <c r="P49" s="1" t="s">
        <v>87</v>
      </c>
      <c r="Q49" s="1" t="str">
        <f t="shared" si="5"/>
        <v>Chemical</v>
      </c>
      <c r="R49" s="24" cm="1">
        <f t="array" aca="1" ref="R49" ca="1">INDIRECT("'"&amp;P49&amp;"'!$B$29")</f>
        <v>10</v>
      </c>
      <c r="T49" s="1" t="s">
        <v>152</v>
      </c>
      <c r="U49" s="1" t="str">
        <f t="shared" si="3"/>
        <v>Automotive</v>
      </c>
      <c r="V49" s="37" cm="1">
        <f t="array" aca="1" ref="V49" ca="1">INDIRECT("'"&amp;T49&amp;"'!$B$30")</f>
        <v>0</v>
      </c>
    </row>
    <row r="50" spans="1:22">
      <c r="A50" s="1" t="s">
        <v>24</v>
      </c>
      <c r="B50" t="str">
        <f>VLOOKUP(A50,Sectors!$A$2:$B$51,2, FALSE)</f>
        <v>Chemical</v>
      </c>
      <c r="C50" s="24">
        <f>'Wacker Chemie'!$B$2</f>
        <v>6.166666666666667</v>
      </c>
      <c r="H50" s="1" t="s">
        <v>108</v>
      </c>
      <c r="I50" s="1" t="str">
        <f t="shared" si="4"/>
        <v>Chemical</v>
      </c>
      <c r="J50" s="24" cm="1">
        <f t="array" aca="1" ref="J50" ca="1">INDIRECT("'"&amp;H50&amp;"'!$B$27")</f>
        <v>8.6666666666666661</v>
      </c>
      <c r="L50" s="1" t="s">
        <v>145</v>
      </c>
      <c r="M50" s="1" t="str">
        <f t="shared" si="2"/>
        <v>Mechanical engineering</v>
      </c>
      <c r="N50" s="24" cm="1">
        <f t="array" aca="1" ref="N50" ca="1">INDIRECT("'"&amp;L50&amp;"'!$B$28")</f>
        <v>7.5</v>
      </c>
      <c r="P50" s="1" t="s">
        <v>29</v>
      </c>
      <c r="Q50" s="1" t="str">
        <f t="shared" si="5"/>
        <v>Electrical</v>
      </c>
      <c r="R50" s="24" cm="1">
        <f t="array" aca="1" ref="R50" ca="1">INDIRECT("'"&amp;P50&amp;"'!$B$29")</f>
        <v>10</v>
      </c>
      <c r="T50" s="1" t="s">
        <v>201</v>
      </c>
      <c r="U50" s="1" t="str">
        <f t="shared" si="3"/>
        <v>Chemical</v>
      </c>
      <c r="V50" s="37" cm="1">
        <f t="array" aca="1" ref="V50" ca="1">INDIRECT("'"&amp;T50&amp;"'!$B$30")</f>
        <v>5</v>
      </c>
    </row>
    <row r="51" spans="1:22">
      <c r="A51" s="1" t="s">
        <v>152</v>
      </c>
      <c r="B51" t="str">
        <f>VLOOKUP(A51,Sectors!$A$2:$B$51,2, FALSE)</f>
        <v>Automotive</v>
      </c>
      <c r="C51" s="24">
        <f>'ZF Friedrichshafen'!$B$2</f>
        <v>4.083333333333333</v>
      </c>
      <c r="H51" s="1" t="s">
        <v>65</v>
      </c>
      <c r="I51" s="1" t="str">
        <f t="shared" si="4"/>
        <v>Mechanical engineering</v>
      </c>
      <c r="J51" s="24" cm="1">
        <f t="array" aca="1" ref="J51" ca="1">INDIRECT("'"&amp;H51&amp;"'!$B$27")</f>
        <v>8.6666666666666661</v>
      </c>
      <c r="L51" s="1" t="s">
        <v>38</v>
      </c>
      <c r="M51" s="1" t="str">
        <f t="shared" si="2"/>
        <v>Military and defense</v>
      </c>
      <c r="N51" s="24" cm="1">
        <f t="array" aca="1" ref="N51" ca="1">INDIRECT("'"&amp;L51&amp;"'!$B$28")</f>
        <v>10</v>
      </c>
      <c r="P51" s="1" t="s">
        <v>187</v>
      </c>
      <c r="Q51" s="1" t="str">
        <f t="shared" si="5"/>
        <v>Automotive</v>
      </c>
      <c r="R51" s="24" cm="1">
        <f t="array" aca="1" ref="R51" ca="1">INDIRECT("'"&amp;P51&amp;"'!$B$29")</f>
        <v>10</v>
      </c>
      <c r="T51" s="1" t="s">
        <v>38</v>
      </c>
      <c r="U51" s="1" t="str">
        <f t="shared" si="3"/>
        <v>Military and defense</v>
      </c>
      <c r="V51" s="37" cm="1">
        <f t="array" aca="1" ref="V51" ca="1">INDIRECT("'"&amp;T51&amp;"'!$B$30")</f>
        <v>5</v>
      </c>
    </row>
    <row r="52" spans="1:22">
      <c r="H52" s="36" t="s">
        <v>1686</v>
      </c>
      <c r="I52" s="36"/>
      <c r="J52" s="99">
        <f ca="1">AVERAGE(J2:J51)</f>
        <v>6.2733333333333325</v>
      </c>
      <c r="L52" s="36" t="s">
        <v>1685</v>
      </c>
      <c r="M52" s="36"/>
      <c r="N52" s="99">
        <f ca="1">AVERAGE(N2:N51)</f>
        <v>3.55</v>
      </c>
      <c r="P52" s="36" t="s">
        <v>1629</v>
      </c>
      <c r="Q52" s="36"/>
      <c r="R52" s="99">
        <f ca="1">AVERAGE(R2:R51)</f>
        <v>6.52</v>
      </c>
      <c r="T52" s="36" t="s">
        <v>1629</v>
      </c>
      <c r="U52" s="36"/>
      <c r="V52" s="99">
        <f ca="1">AVERAGE(V2:V51)</f>
        <v>0.2</v>
      </c>
    </row>
    <row r="53" spans="1:22">
      <c r="H53" s="36" t="s">
        <v>1687</v>
      </c>
      <c r="I53" s="34"/>
      <c r="J53" s="99">
        <f ca="1">AVERAGEIFS($J$2:$J$51,$I$2:$I$51,"Automotive")</f>
        <v>7.3666666666666654</v>
      </c>
      <c r="L53" s="36" t="s">
        <v>1687</v>
      </c>
      <c r="M53" s="34"/>
      <c r="N53" s="99">
        <f ca="1">AVERAGEIFS($N$2:$N$51,$M$2:$M$51,"Automotive")</f>
        <v>3.75</v>
      </c>
      <c r="P53" s="36" t="s">
        <v>1687</v>
      </c>
      <c r="Q53" s="34"/>
      <c r="R53" s="99">
        <f ca="1">AVERAGEIFS($R$2:$R$51,$Q$2:$Q$51,"Automotive")</f>
        <v>7.4</v>
      </c>
      <c r="T53" s="36" t="s">
        <v>1687</v>
      </c>
      <c r="U53" s="34"/>
      <c r="V53" s="99">
        <f ca="1">AVERAGEIFS($V$2:$V$51,$U$2:$U$51,"Automotive")</f>
        <v>0</v>
      </c>
    </row>
    <row r="54" spans="1:22">
      <c r="H54" s="36" t="s">
        <v>1688</v>
      </c>
      <c r="I54" s="34"/>
      <c r="J54" s="99">
        <f ca="1">AVERAGEIFS($J$2:$J$51,$I$2:$I$51,"Mechanical engineering")</f>
        <v>7.1</v>
      </c>
      <c r="L54" s="36" t="s">
        <v>1688</v>
      </c>
      <c r="M54" s="34"/>
      <c r="N54" s="99">
        <f ca="1">AVERAGEIFS($N$2:$N$51,$M$2:$M$51,"Mechanical engineering")</f>
        <v>3.5</v>
      </c>
      <c r="P54" s="36" t="s">
        <v>1688</v>
      </c>
      <c r="Q54" s="34"/>
      <c r="R54" s="99">
        <f ca="1">AVERAGEIFS($R$2:$R$51,$Q$2:$Q$51,"Mechanical engineering")</f>
        <v>7.2</v>
      </c>
      <c r="T54" s="36" t="s">
        <v>1688</v>
      </c>
      <c r="U54" s="34"/>
      <c r="V54" s="99">
        <f ca="1">AVERAGEIFS($V$2:$V$51,$U$2:$U$51,"Mechanical engineering")</f>
        <v>0</v>
      </c>
    </row>
    <row r="55" spans="1:22">
      <c r="H55" s="36" t="s">
        <v>1689</v>
      </c>
      <c r="I55" s="34"/>
      <c r="J55" s="99">
        <f ca="1">AVERAGEIFS($J$2:$J$51,$I$2:$I$51,"Chemical")</f>
        <v>6.7666666666666675</v>
      </c>
      <c r="L55" s="36" t="s">
        <v>1689</v>
      </c>
      <c r="M55" s="34"/>
      <c r="N55" s="99">
        <f ca="1">AVERAGEIFS($N$2:$N$51,$M$2:$M$51,"Chemical")</f>
        <v>3</v>
      </c>
      <c r="P55" s="36" t="s">
        <v>1689</v>
      </c>
      <c r="Q55" s="34"/>
      <c r="R55" s="99">
        <f ca="1">AVERAGEIFS($R$2:$R$51,$Q$2:$Q$51,"Chemical")</f>
        <v>6.6</v>
      </c>
      <c r="T55" s="36" t="s">
        <v>1689</v>
      </c>
      <c r="U55" s="34"/>
      <c r="V55" s="99">
        <f ca="1">AVERAGEIFS($V$2:$V$51,$U$2:$U$51,"Chemical")</f>
        <v>0.5</v>
      </c>
    </row>
    <row r="56" spans="1:22">
      <c r="H56" s="36" t="s">
        <v>1690</v>
      </c>
      <c r="I56" s="34"/>
      <c r="J56" s="99">
        <f ca="1">AVERAGEIFS($J$2:$J$51,$I$2:$I$51,"Electrical")</f>
        <v>5.5666666666666664</v>
      </c>
      <c r="L56" s="36" t="s">
        <v>1690</v>
      </c>
      <c r="M56" s="34"/>
      <c r="N56" s="99">
        <f ca="1">AVERAGEIFS($N$2:$N$51,$M$2:$M$51,"Electrical")</f>
        <v>4.25</v>
      </c>
      <c r="P56" s="36" t="s">
        <v>1690</v>
      </c>
      <c r="Q56" s="34"/>
      <c r="R56" s="99">
        <f ca="1">AVERAGEIFS($R$2:$R$51,$Q$2:$Q$51,"Electrical")</f>
        <v>6.1</v>
      </c>
      <c r="T56" s="36" t="s">
        <v>1690</v>
      </c>
      <c r="U56" s="34"/>
      <c r="V56" s="99">
        <f ca="1">AVERAGEIFS($V$2:$V$51,$U$2:$U$51,"Electrical")</f>
        <v>0</v>
      </c>
    </row>
    <row r="57" spans="1:22">
      <c r="H57" s="36" t="s">
        <v>1691</v>
      </c>
      <c r="I57" s="34"/>
      <c r="J57" s="99">
        <f ca="1">AVERAGEIFS($J$2:$J$51,$I$2:$I$51,"Military and defense")</f>
        <v>4.5666666666666664</v>
      </c>
      <c r="L57" s="36" t="s">
        <v>1691</v>
      </c>
      <c r="M57" s="34"/>
      <c r="N57" s="99">
        <f ca="1">AVERAGEIFS($N$2:$N$51,$M$2:$M$51,"Military and defense")</f>
        <v>3.25</v>
      </c>
      <c r="P57" s="36" t="s">
        <v>1691</v>
      </c>
      <c r="Q57" s="34"/>
      <c r="R57" s="99">
        <f ca="1">AVERAGEIFS($R$2:$R$51,$Q$2:$Q$51,"Military and defense")</f>
        <v>5.3</v>
      </c>
      <c r="T57" s="36" t="s">
        <v>1691</v>
      </c>
      <c r="U57" s="34"/>
      <c r="V57" s="99">
        <f ca="1">AVERAGEIFS($V$2:$V$51,$U$2:$U$51,"Military and defense")</f>
        <v>0.5</v>
      </c>
    </row>
  </sheetData>
  <sortState xmlns:xlrd2="http://schemas.microsoft.com/office/spreadsheetml/2017/richdata2" ref="P2:R51">
    <sortCondition ref="R2:R51"/>
  </sortState>
  <dataConsolidate/>
  <conditionalFormatting sqref="C2:C51">
    <cfRule type="cellIs" dxfId="28" priority="11" operator="lessThanOrEqual">
      <formula>3</formula>
    </cfRule>
    <cfRule type="cellIs" dxfId="27" priority="12" operator="greaterThanOrEqual">
      <formula>7</formula>
    </cfRule>
  </conditionalFormatting>
  <conditionalFormatting sqref="J2:J51">
    <cfRule type="cellIs" dxfId="26" priority="9" operator="lessThanOrEqual">
      <formula>3</formula>
    </cfRule>
    <cfRule type="cellIs" dxfId="25" priority="10" operator="greaterThanOrEqual">
      <formula>7</formula>
    </cfRule>
  </conditionalFormatting>
  <conditionalFormatting sqref="N2:N51">
    <cfRule type="cellIs" dxfId="24" priority="7" operator="lessThanOrEqual">
      <formula>3</formula>
    </cfRule>
    <cfRule type="cellIs" dxfId="23" priority="8" operator="greaterThanOrEqual">
      <formula>7</formula>
    </cfRule>
  </conditionalFormatting>
  <conditionalFormatting sqref="R2:R51">
    <cfRule type="cellIs" dxfId="22" priority="5" operator="lessThanOrEqual">
      <formula>3</formula>
    </cfRule>
    <cfRule type="cellIs" dxfId="21" priority="6" operator="greaterThanOrEqual">
      <formula>7</formula>
    </cfRule>
  </conditionalFormatting>
  <conditionalFormatting sqref="V2:V51">
    <cfRule type="cellIs" dxfId="20" priority="3" operator="lessThanOrEqual">
      <formula>3</formula>
    </cfRule>
    <cfRule type="cellIs" dxfId="19" priority="4" operator="greaterThanOrEqual">
      <formula>7</formula>
    </cfRule>
  </conditionalFormatting>
  <pageMargins left="0.7" right="0.7" top="0.75" bottom="0.75" header="0.3" footer="0.3"/>
  <pageSetup paperSize="9" orientation="portrait" horizontalDpi="0" verticalDpi="0"/>
  <legacyDrawing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DF1E9-70F7-164A-96C4-42D930A9FC23}">
  <sheetPr codeName="Sheet47"/>
  <dimension ref="A1:I30"/>
  <sheetViews>
    <sheetView topLeftCell="A23"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Th√ºga Holding</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https://wikirate.org/~22335871</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https://wikirate.org/~22335871</v>
      </c>
      <c r="H6" s="14" t="str">
        <f ca="1">VLOOKUP($A6&amp;$B$1,'Export 3 Oct'!$B$6:$K$851,10, FALSE)</f>
        <v>See the bottom of the page for download PDFs Aureliane[https://wikirate.org/Aureliane].....2025-08-28 10:15:37 UTC</v>
      </c>
      <c r="I6" s="12"/>
    </row>
    <row r="7" spans="1:9" ht="48">
      <c r="A7" s="13" t="s">
        <v>901</v>
      </c>
      <c r="B7" s="14" t="s">
        <v>1498</v>
      </c>
      <c r="C7" s="14" t="s">
        <v>1517</v>
      </c>
      <c r="D7" s="14" t="str">
        <f ca="1">VLOOKUP($A7&amp;$B$1,'Export 3 Oct'!$B$6:$K$851,5, FALSE)</f>
        <v>Yes</v>
      </c>
      <c r="E7" s="12">
        <v>10</v>
      </c>
      <c r="F7" s="12"/>
      <c r="G7" s="12" t="str">
        <f ca="1">VLOOKUP($A7&amp;$B$1,'Export 3 Oct'!$B$6:$K$851,6, FALSE)</f>
        <v>https://wikirate.org/~22250727</v>
      </c>
      <c r="H7" s="14" t="str">
        <f ca="1">VLOOKUP($A7&amp;$B$1,'Export 3 Oct'!$B$6:$K$851,10, FALSE)</f>
        <v>Sustainability and annual reports from previous years are stored on the website. Sustainability reports can be accessed by looking in the media library or searching for the report title. Aureliane[https://wikirate.org/Aureliane].....2025-08-28 10:26:16 UTC</v>
      </c>
      <c r="I7" s="12"/>
    </row>
    <row r="8" spans="1:9" ht="96">
      <c r="A8" s="13" t="s">
        <v>629</v>
      </c>
      <c r="B8" s="14" t="s">
        <v>1499</v>
      </c>
      <c r="C8" s="14" t="s">
        <v>1517</v>
      </c>
      <c r="D8" s="14" t="str">
        <f ca="1">VLOOKUP($A8&amp;$B$1,'Export 3 Oct'!$B$6:$K$851,5, FALSE)</f>
        <v>Yes</v>
      </c>
      <c r="E8" s="12">
        <v>10</v>
      </c>
      <c r="F8" s="12"/>
      <c r="G8" s="12" t="str">
        <f ca="1">VLOOKUP($A8&amp;$B$1,'Export 3 Oct'!$B$6:$K$851,6, FALSE)</f>
        <v>https://wikirate.org/~22335878</v>
      </c>
      <c r="H8" s="14" t="str">
        <f ca="1">VLOOKUP($A8&amp;$B$1,'Export 3 Oct'!$B$6:$K$851,10, FALSE)</f>
        <v>The is no mention of Verhaltenskodex, kodex, Menschenrechtsgrunds√§tze, Menschenrechtsrichtlinie, or even Menschenrechte, Nachhaltigkeitsleitlinien, etc. No links provided to other documents. Aureliane[https://wikirate.org/Aureliane].....2025-08-28 10:36:59 UTC Updated the research, looking at their sustainability statement. There are a few direct links to supporting documentation, though it not a very consistent approach. See p. 77 and 78 Laureen van Breen[https://wikirate.org/Laureen_van_Breen].....2025-09-22 09:48:46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https://wikirate.org/~22250751</v>
      </c>
      <c r="H9" s="14" t="str">
        <f ca="1">VLOOKUP($A9&amp;$B$1,'Export 3 Oct'!$B$6:$K$851,10, FALSE)</f>
        <v>On this page I could find the latest Grundsatzerkl√§rung (Human Rights Policy), Verhaltenskodex, and LksG Bericht Aureliane[https://wikirate.org/Aureliane].....2025-08-28 10:42:11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https://wikirate.org/~22335878</v>
      </c>
      <c r="H10" s="14" t="str">
        <f ca="1">VLOOKUP($A10&amp;$B$1,'Export 3 Oct'!$B$6:$K$851,10, FALSE)</f>
        <v>None of the answer options. I also searched for: USt-IdNr. Handelsregister Umsatzsteuer-Identifikationsnummer Aureliane[https://wikirate.org/Aureliane].....2025-08-28 10:49:16 UTC</v>
      </c>
      <c r="I10" s="12"/>
    </row>
    <row r="11" spans="1:9" ht="128">
      <c r="A11" s="13" t="s">
        <v>412</v>
      </c>
      <c r="B11" s="14" t="s">
        <v>1502</v>
      </c>
      <c r="C11" s="14" t="s">
        <v>1517</v>
      </c>
      <c r="D11" s="14" t="str">
        <f ca="1">VLOOKUP($A11&amp;$B$1,'Export 3 Oct'!$B$6:$K$851,5, FALSE)</f>
        <v>Yes</v>
      </c>
      <c r="E11" s="12">
        <v>10</v>
      </c>
      <c r="F11" s="12"/>
      <c r="G11" s="12" t="str">
        <f ca="1">VLOOKUP($A11&amp;$B$1,'Export 3 Oct'!$B$6:$K$851,6, FALSE)</f>
        <v>https://wikirate.org/~22335878</v>
      </c>
      <c r="H11" s="14" t="str">
        <f ca="1">VLOOKUP($A11&amp;$B$1,'Export 3 Oct'!$B$6:$K$851,10, FALSE)</f>
        <v>There are many references to Gesch√§ftsjahres 2024 (Financial year). The report does not contain any sustainability data to which the reporting period would apply. Aureliane[https://wikirate.org/Aureliane].....2025-08-28 10:57:36 UTC Updated the research looking at their Sustainability report for FY 2024 and 2023. p. 3 "Der Bericht umfasst die Gesch√§ftsjahre 2023 und 2024 (1. Januar bis 31. Dezember). Da der Th√ºga Holding-Konzern aktuell nicht gesetzlich zur Nachhaltigkeitsberichterstattung verpflichtet ist, kann der Berichtszeitraum von dem der Finanzberichterstattung (Kalenderjahr) abweichen. " Laureen van Breen[https://wikirate.org/Laureen_van_Breen].....2025-09-22 09:54:12 UTC</v>
      </c>
      <c r="I11" s="12"/>
    </row>
    <row r="12" spans="1:9" ht="80">
      <c r="A12" s="13" t="s">
        <v>987</v>
      </c>
      <c r="B12" s="14" t="s">
        <v>1503</v>
      </c>
      <c r="C12" s="14" t="s">
        <v>1517</v>
      </c>
      <c r="D12" s="14" t="str">
        <f ca="1">VLOOKUP($A12&amp;$B$1,'Export 3 Oct'!$B$6:$K$851,5, FALSE)</f>
        <v>Yes</v>
      </c>
      <c r="E12" s="12">
        <v>10</v>
      </c>
      <c r="F12" s="12"/>
      <c r="G12" s="12" t="str">
        <f ca="1">VLOOKUP($A12&amp;$B$1,'Export 3 Oct'!$B$6:$K$851,6, FALSE)</f>
        <v>https://wikirate.org/~22335878</v>
      </c>
      <c r="H12" s="14" t="str">
        <f ca="1">VLOOKUP($A12&amp;$B$1,'Export 3 Oct'!$B$6:$K$851,10, FALSE)</f>
        <v>Misaligned by 1 page Aureliane[https://wikirate.org/Aureliane].....2025-08-28 10:58:34 UTC Also they have double pages on one PDF viewer page Thomas Howie[https://wikirate.org/Thomas_Howie].....2025-09-02 19:07:04 UTC Updated the research, looking at their sustainability report for 2023 and 2024 Laureen van Breen[https://wikirate.org/Laureen_van_Breen].....2025-09-22 09:55:28 UTC</v>
      </c>
      <c r="I12" s="12"/>
    </row>
    <row r="13" spans="1:9" ht="208">
      <c r="A13" s="13" t="s">
        <v>1044</v>
      </c>
      <c r="B13" s="14" t="s">
        <v>1504</v>
      </c>
      <c r="C13" s="14" t="s">
        <v>1520</v>
      </c>
      <c r="D13" s="14" t="str">
        <f ca="1">VLOOKUP($A13&amp;$B$1,'Export 3 Oct'!$B$6:$K$851,5, FALSE)</f>
        <v>GRI Standards, CSRD (ESRS)</v>
      </c>
      <c r="E13" s="12">
        <v>10</v>
      </c>
      <c r="F13" s="12"/>
      <c r="G13" s="12" t="str">
        <f ca="1">VLOOKUP($A13&amp;$B$1,'Export 3 Oct'!$B$6:$K$851,6, FALSE)</f>
        <v>https://wikirate.org/~21496913</v>
      </c>
      <c r="H13" s="14" t="str">
        <f ca="1">VLOOKUP($A13&amp;$B$1,'Export 3 Oct'!$B$6:$K$851,10, FALSE)</f>
        <v>The annual report does not contain any sustainability data. Aureliane[https://wikirate.org/Aureliane].....2025-08-28 11:04:43 UTC page 35 "Im Jahr 2024 f√ºhrte der Th√ºga Holding-Konzern erstmals eine Wesentlichkeitsanalyse gem√§√ü den Anforderungen der CSRD und ESRS durch."" "Ein Thema gilt als wesentlich, wenn es aus einer oder beiden Perspektiven eine signifikante Relevanz aufweist. Die Analyse basierte auf einer umfassenden Sammlung potenziell relevanter Nachhaltigkeitsthemen. Dabei wurden unter anderem folgende Quellen ber√ºcksichtigt: ‚Ä¢ ESRS (sektor√ºbergreifend) ‚Ä¢ SASB-Standards (als Orientierung f√ºr sektorspezifische Anforderungen) ‚Ä¢ GRI-Wesentlichkeitsanalyse 2023 ‚Ä¢ Global Risk Report 2023 des World Economic Forum" While they also referenced SASB for their materiality assessment, it is not clear if this standard really impacted how they reported data. Laureen van Breen[https://wikirate.org/Laureen_van_Breen].....2025-09-22 09:59:21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https://wikirate.org/~22335878</v>
      </c>
      <c r="H14" s="14" t="str">
        <f ca="1">VLOOKUP($A14&amp;$B$1,'Export 3 Oct'!$B$6:$K$851,10, FALSE)</f>
        <v>No sustainability data Aureliane[https://wikirate.org/Aureliane].....2025-08-28 11:05:13 UTC Update the research with their Sustainability report Index: p. 80-86 Example alongside disclosure: p. 60 Laureen van Breen[https://wikirate.org/Laureen_van_Breen].....2025-09-22 10:01:45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https://wikirate.org/~22335878</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https://wikirate.org/~22335878</v>
      </c>
      <c r="H16" s="14"/>
      <c r="I16" s="12"/>
    </row>
    <row r="17" spans="1:9">
      <c r="A17" s="15" t="s">
        <v>1512</v>
      </c>
      <c r="B17" s="16"/>
      <c r="C17" s="17"/>
      <c r="D17" s="16"/>
      <c r="E17" s="17"/>
      <c r="F17" s="17"/>
      <c r="G17" s="17"/>
      <c r="H17" s="16"/>
      <c r="I17" s="12"/>
    </row>
    <row r="18" spans="1:9" ht="192">
      <c r="A18" s="13" t="s">
        <v>1195</v>
      </c>
      <c r="B18" s="14" t="s">
        <v>1508</v>
      </c>
      <c r="C18" s="12" t="s">
        <v>1523</v>
      </c>
      <c r="D18" s="14" t="str">
        <f ca="1">VLOOKUP($A18&amp;$B$1,'Export 3 Oct'!$B$6:$K$851,5, FALSE)</f>
        <v>Yes</v>
      </c>
      <c r="E18" s="12" t="s">
        <v>1515</v>
      </c>
      <c r="F18" s="12"/>
      <c r="G18" s="12" t="str">
        <f ca="1">VLOOKUP($A18&amp;$B$1,'Export 3 Oct'!$B$6:$K$851,6, FALSE)</f>
        <v>https://wikirate.org/~22335878</v>
      </c>
      <c r="H18" s="14" t="str">
        <f ca="1">VLOOKUP($A18&amp;$B$1,'Export 3 Oct'!$B$6:$K$851,10, FALSE)</f>
        <v>Updated research based on sustainability report: P. 35 "Im Jahr 2024 f√ºhrte der Th√ºga Holding-Konzern erstmals eine Wesentlichkeitsanalyse gem√§√ü den Anforderungen der CSRD und ESRS durch. Zentrales Prinzip dieser Analyse ist das Konzept der doppelten Wesentlichkeit, das zwei Perspektiven miteinander verkn√ºpft: ‚Ä¢ Impact-Materialit√§t (Inside-Out): Welche Auswirkungen hat die Gesch√§ftst√§tigkeit des Unternehmens auf Umwelt und Gesellschaft? ‚Ä¢ Finanzielle Materialit√§t (Outside-In): Welche Auswirkungen haben Nachhaltigkeitsthemen auf den Gesch√§ftsverlauf, die Finanzlage und die Zukunftsf√§higkeit des Unternehmens? Ein Thema gilt als wesentlich, wenn es aus einer oder beiden Perspektiven eine signifikante Relevanz aufweist. Die Analyse basierte auf einer umfassenden Sammlung potenziell relevanter Nachhaltigkeitsthemen. Dabei wurden unter anderem folgende Quellen ber√ºcksichtigt: ‚Ä¢ ESRS (sektor√ºbergreifend) ‚Ä¢ SASB-Standards (als Orientierung f√ºr sektorspezifische Anforderungen) ‚Ä¢ GRI-Wesentlichkeitsanalyse 2023 ‚Ä¢ Gl...</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https://wikirate.org/~22335878</v>
      </c>
      <c r="H19" s="14" t="str">
        <f ca="1">VLOOKUP($A19&amp;$B$1,'Export 3 Oct'!$B$6:$K$851,10, FALSE)</f>
        <v>p. 75-76 Laureen van Breen[https://wikirate.org/Laureen_van_Breen].....2025-09-22 11:53:13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https://wikirate.org/~22335878</v>
      </c>
      <c r="H20" s="14"/>
      <c r="I20" s="12"/>
    </row>
    <row r="21" spans="1:9">
      <c r="A21" s="13" t="s">
        <v>13</v>
      </c>
      <c r="B21" s="14" t="s">
        <v>1511</v>
      </c>
      <c r="C21" s="12" t="s">
        <v>1523</v>
      </c>
      <c r="D21" s="14" t="str">
        <f ca="1">VLOOKUP($A21&amp;$B$1,'Export 3 Oct'!$B$6:$K$851,5, FALSE)</f>
        <v>No</v>
      </c>
      <c r="E21" s="12" t="s">
        <v>1515</v>
      </c>
      <c r="F21" s="12"/>
      <c r="G21" s="12" t="str">
        <f ca="1">VLOOKUP($A21&amp;$B$1,'Export 3 Oct'!$B$6:$K$851,6, FALSE)</f>
        <v>https://wikirate.org/~22335878</v>
      </c>
      <c r="H21" s="14"/>
      <c r="I21" s="12"/>
    </row>
    <row r="26" spans="1:9">
      <c r="A26" s="39" t="s">
        <v>1634</v>
      </c>
    </row>
    <row r="27" spans="1:9">
      <c r="A27" s="38" t="s">
        <v>1630</v>
      </c>
      <c r="B27" s="40">
        <f>AVERAGE($E$5,$E$6,$E$7)</f>
        <v>6.333333333333333</v>
      </c>
    </row>
    <row r="28" spans="1:9">
      <c r="A28" s="38" t="s">
        <v>1631</v>
      </c>
      <c r="B28" s="40">
        <f>AVERAGE($E$8,$E$9)</f>
        <v>7.5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6D628-C9BE-4E45-BA7D-5EC32314DD74}">
  <sheetPr codeName="Sheet48"/>
  <dimension ref="A1:I30"/>
  <sheetViews>
    <sheetView topLeftCell="A16"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ThyssenKrupp Group</v>
      </c>
    </row>
    <row r="2" spans="1:9" ht="23">
      <c r="A2" s="8" t="s">
        <v>1616</v>
      </c>
      <c r="B2" s="18">
        <f>SUM(E5:E16)/12</f>
        <v>4.916666666666667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https://wikirate.org/~22206164</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https://wikirate.org/~21495956</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https://wikirate.org/~22206187</v>
      </c>
      <c r="H7" s="14" t="str">
        <f ca="1">VLOOKUP($A7&amp;$B$1,'Export 3 Oct'!$B$6:$K$851,10, FALSE)</f>
        <v>Archived reports back to 2001 available Marc McGowan[https://wikirate.org/Marc_McGowan].....2025-08-07 10:21:56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https://wikirate.org/~21495956</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https://wikirate.org/~22206205</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https://wikirate.org/~21495956</v>
      </c>
      <c r="H10" s="14"/>
      <c r="I10" s="12"/>
    </row>
    <row r="11" spans="1:9" ht="64">
      <c r="A11" s="13" t="s">
        <v>412</v>
      </c>
      <c r="B11" s="14" t="s">
        <v>1502</v>
      </c>
      <c r="C11" s="14" t="s">
        <v>1517</v>
      </c>
      <c r="D11" s="14" t="str">
        <f ca="1">VLOOKUP($A11&amp;$B$1,'Export 3 Oct'!$B$6:$K$851,5, FALSE)</f>
        <v>Yes</v>
      </c>
      <c r="E11" s="12">
        <v>10</v>
      </c>
      <c r="F11" s="12"/>
      <c r="G11" s="12" t="str">
        <f ca="1">VLOOKUP($A11&amp;$B$1,'Export 3 Oct'!$B$6:$K$851,6, FALSE)</f>
        <v>https://wikirate.org/~21495956</v>
      </c>
      <c r="H11" s="14" t="str">
        <f ca="1">VLOOKUP($A11&amp;$B$1,'Export 3 Oct'!$B$6:$K$851,10, FALSE)</f>
        <v>P284: "we have audited the management report of the company and the Group (hereinafter referred to as the ‚Äúcombined management report‚Äù) for the financial year from 1 October, 2023 to 30 September, 2024." Marc McGowan[https://wikirate.org/Marc_McGowan].....2025-08-07 11:10:07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https://wikirate.org/~21495956</v>
      </c>
      <c r="H12" s="14"/>
      <c r="I12" s="12"/>
    </row>
    <row r="13" spans="1:9" ht="208">
      <c r="A13" s="13" t="s">
        <v>1044</v>
      </c>
      <c r="B13" s="14" t="s">
        <v>1504</v>
      </c>
      <c r="C13" s="14" t="s">
        <v>1520</v>
      </c>
      <c r="D13" s="14" t="str">
        <f ca="1">VLOOKUP($A13&amp;$B$1,'Export 3 Oct'!$B$6:$K$851,5, FALSE)</f>
        <v>Greenhouse Gas Protocol</v>
      </c>
      <c r="E13" s="12">
        <v>10</v>
      </c>
      <c r="F13" s="12"/>
      <c r="G13" s="12" t="str">
        <f ca="1">VLOOKUP($A13&amp;$B$1,'Export 3 Oct'!$B$6:$K$851,6, FALSE)</f>
        <v>https://wikirate.org/~21495956</v>
      </c>
      <c r="H13" s="14" t="str">
        <f ca="1">VLOOKUP($A13&amp;$B$1,'Export 3 Oct'!$B$6:$K$851,10, FALSE)</f>
        <v>P89: "In the reporting period thyssenkrupp‚Äôs greenhouse gas emissions ‚Äì i.e., Scope 1 and Scope 2 emissions as per the Greenhouse Gas Protocol ‚Äì came to around 23.2 million tons CO2e. " Marc McGowan[https://wikirate.org/Marc_McGowan].....2025-08-07 14:05:24 UTC</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https://wikirate.org/~21495956</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https://wikirate.org/~21495956</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https://wikirate.org/~21495956</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https://wikirate.org/~21495956</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https://wikirate.org/~21495956</v>
      </c>
      <c r="H19" s="14"/>
      <c r="I19" s="12"/>
    </row>
    <row r="20" spans="1:9" ht="144">
      <c r="A20" s="13" t="s">
        <v>814</v>
      </c>
      <c r="B20" s="14" t="s">
        <v>1510</v>
      </c>
      <c r="C20" s="14" t="s">
        <v>1524</v>
      </c>
      <c r="D20" s="14" t="str">
        <f ca="1">VLOOKUP($A20&amp;$B$1,'Export 3 Oct'!$B$6:$K$851,5, FALSE)</f>
        <v>Reasonable assurance</v>
      </c>
      <c r="E20" s="12" t="s">
        <v>1515</v>
      </c>
      <c r="F20" s="12"/>
      <c r="G20" s="12" t="str">
        <f ca="1">VLOOKUP($A20&amp;$B$1,'Export 3 Oct'!$B$6:$K$851,6, FALSE)</f>
        <v>https://wikirate.org/~21495956</v>
      </c>
      <c r="H20" s="14" t="str">
        <f ca="1">VLOOKUP($A20&amp;$B$1,'Export 3 Oct'!$B$6:$K$851,10, FALSE)</f>
        <v>P289: "Our objectives are to obtain reasonable assurance about whether the consolidated financial statements as a whole are free from material misstatement, whether due to fraud or error, and whether the combined management report as a whole provides an appropriate view of the Group‚Äôs position and, in all material respects, is consistent with the consolidated financial statements and the knowledge obtained in the audit, complies with the German legal requirements and appropriately presents the opportunities and risks of future development, as well as to issue an auditor‚Äôs report that includes our opinions on the consolidated financial statements and on the combined management report." Marc McGowan[https://wikirate.org/Marc_McGowan].....2025-08-07 14:44:24 UTC</v>
      </c>
      <c r="I20" s="12"/>
    </row>
    <row r="21" spans="1:9">
      <c r="A21" s="13" t="s">
        <v>13</v>
      </c>
      <c r="B21" s="14" t="s">
        <v>1511</v>
      </c>
      <c r="C21" s="12" t="s">
        <v>1523</v>
      </c>
      <c r="D21" s="14" t="str">
        <f ca="1">VLOOKUP($A21&amp;$B$1,'Export 3 Oct'!$B$6:$K$851,5, FALSE)</f>
        <v>No</v>
      </c>
      <c r="E21" s="12" t="s">
        <v>1515</v>
      </c>
      <c r="F21" s="12"/>
      <c r="G21" s="12" t="str">
        <f ca="1">VLOOKUP($A21&amp;$B$1,'Export 3 Oct'!$B$6:$K$851,6, FALSE)</f>
        <v>https://wikirate.org/~21495956</v>
      </c>
      <c r="H21" s="14"/>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1BC0-8376-604D-B524-1F71890B0B4F}">
  <sheetPr codeName="Sheet49"/>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Uniper SE</v>
      </c>
    </row>
    <row r="2" spans="1:9" ht="23">
      <c r="A2" s="8" t="s">
        <v>1616</v>
      </c>
      <c r="B2" s="18">
        <f>SUM(E5:E16)/12</f>
        <v>4.916666666666667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https://wikirate.org/~22219657</v>
      </c>
      <c r="H5" s="14" t="str">
        <f ca="1">VLOOKUP($A5&amp;$B$1,'Export 3 Oct'!$B$6:$K$851,10, FALSE)</f>
        <v>On AnnualReports.com[http://AnnualReports.com] Thomas Howie[https://wikirate.org/Thomas_Howie].....2025-08-15 14:41:10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https://wikirate.org/~21779953</v>
      </c>
      <c r="H6" s="14"/>
      <c r="I6" s="12"/>
    </row>
    <row r="7" spans="1:9" ht="64">
      <c r="A7" s="13" t="s">
        <v>901</v>
      </c>
      <c r="B7" s="14" t="s">
        <v>1498</v>
      </c>
      <c r="C7" s="14" t="s">
        <v>1517</v>
      </c>
      <c r="D7" s="14" t="str">
        <f ca="1">VLOOKUP($A7&amp;$B$1,'Export 3 Oct'!$B$6:$K$851,5, FALSE)</f>
        <v>Yes</v>
      </c>
      <c r="E7" s="12">
        <v>10</v>
      </c>
      <c r="F7" s="12"/>
      <c r="G7" s="12" t="str">
        <f ca="1">VLOOKUP($A7&amp;$B$1,'Export 3 Oct'!$B$6:$K$851,6, FALSE)</f>
        <v>https://wikirate.org/~22219657</v>
      </c>
      <c r="H7" s="14" t="str">
        <f ca="1">VLOOKUP($A7&amp;$B$1,'Export 3 Oct'!$B$6:$K$851,10, FALSE)</f>
        <v>Listed under "Find all our Sustainability Reports" Thomas Howie[https://wikirate.org/Thomas_Howie].....2025-08-15 14:43:44 UTC https://www.uniper.energy/sustainability/sustainability-resources/publications-downloads Lucia Ixtacuy[https://wikirate.org/Lucia_Ixtacuy].....2025-08-21 14:57:20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https://wikirate.org/~21779953</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https://wikirate.org/~22219657</v>
      </c>
      <c r="H9" s="14" t="str">
        <f ca="1">VLOOKUP($A9&amp;$B$1,'Export 3 Oct'!$B$6:$K$851,10, FALSE)</f>
        <v>Listed under "Policies" towards the bottom of the page Thomas Howie[https://wikirate.org/Thomas_Howie].....2025-08-15 14:46:16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https://wikirate.org/~21779953</v>
      </c>
      <c r="H10" s="14"/>
      <c r="I10" s="12"/>
    </row>
    <row r="11" spans="1:9" ht="128">
      <c r="A11" s="13" t="s">
        <v>412</v>
      </c>
      <c r="B11" s="14" t="s">
        <v>1502</v>
      </c>
      <c r="C11" s="14" t="s">
        <v>1517</v>
      </c>
      <c r="D11" s="14" t="str">
        <f ca="1">VLOOKUP($A11&amp;$B$1,'Export 3 Oct'!$B$6:$K$851,5, FALSE)</f>
        <v>Yes</v>
      </c>
      <c r="E11" s="12">
        <v>10</v>
      </c>
      <c r="F11" s="12"/>
      <c r="G11" s="12" t="str">
        <f ca="1">VLOOKUP($A11&amp;$B$1,'Export 3 Oct'!$B$6:$K$851,6, FALSE)</f>
        <v>https://wikirate.org/~21779953</v>
      </c>
      <c r="H11" s="14" t="str">
        <f ca="1">VLOOKUP($A11&amp;$B$1,'Export 3 Oct'!$B$6:$K$851,10, FALSE)</f>
        <v>p17 (p21 in PDF viewer) "the 2024 reporting period" - although this is in reference to financial data, the document keeps refering throughout to "the reporting period" for sustainability data Thomas Howie[https://wikirate.org/Thomas_Howie].....2025-08-15 14:52:19 UTC p. 254 "We have conducted a limited assurance engagement on the group sustainability report of Uniper SE, D√ºsseldorf, (hereinafter the ‚ÄûCompany‚Äú) included in section " Group Sustainability Report" of the group management report, which is combined with the Company's management report, for the financial year from 1January to 31December 2024 (hereinafter the "Group Sustainability Report")." Lucia Ixtacuy[https://wikirate.org/Lucia_Ixtacuy].....2025-08-21 15:18:03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https://wikirate.org/~21779953</v>
      </c>
      <c r="H12" s="14"/>
      <c r="I12" s="12"/>
    </row>
    <row r="13" spans="1:9" ht="208">
      <c r="A13" s="13" t="s">
        <v>1044</v>
      </c>
      <c r="B13" s="14" t="s">
        <v>1504</v>
      </c>
      <c r="C13" s="14" t="s">
        <v>1520</v>
      </c>
      <c r="D13" s="14" t="str">
        <f ca="1">VLOOKUP($A13&amp;$B$1,'Export 3 Oct'!$B$6:$K$851,5, FALSE)</f>
        <v>ISSB (IFRS), SASB, CSRD (ESRS), Greenhouse Gas Protocol</v>
      </c>
      <c r="E13" s="12">
        <v>10</v>
      </c>
      <c r="F13" s="12"/>
      <c r="G13" s="12" t="str">
        <f ca="1">VLOOKUP($A13&amp;$B$1,'Export 3 Oct'!$B$6:$K$851,6, FALSE)</f>
        <v>https://wikirate.org/~21779953</v>
      </c>
      <c r="H13" s="14" t="str">
        <f ca="1">VLOOKUP($A13&amp;$B$1,'Export 3 Oct'!$B$6:$K$851,10, FALSE)</f>
        <v>p99 (p103 in PDF viewer) "Uniper has decided to voluntarily implement these ESRS requirements in full under the transitional provisions. In accordance with the ESRS requirements, the material topics were selected on the basis of the assessment of their impact, and their financial opportunities and risks." p125 (p129 in PDF viewer) "For the determination of potential topics and impacts (i.e., potential entity-specific disclo- sures), relevant standards (e.g., SASB, ISSB)" Thomas Howie[https://wikirate.org/Thomas_Howie].....2025-08-15 14:57:08 UTC p104 (p108 in PDF viewer) The Scope 3 emissions include data on upstream and/or downstream value chain activities, which have been estimated in accordance with the GHG Protocol. Thomas Howie[https://wikirate.org/Thomas_Howie].....2025-08-15 14:59:02 UTC "Unlike in previous years, the frameworks of the GRI (Global Reporting Initiative) and the TCFD (Task Force on Climate-related Financial Disclosures) are no longer directly applied. However, reporting continuity is ...</v>
      </c>
      <c r="I13" s="12"/>
    </row>
    <row r="14" spans="1:9" ht="128">
      <c r="A14" s="13" t="s">
        <v>495</v>
      </c>
      <c r="B14" s="14" t="s">
        <v>1505</v>
      </c>
      <c r="C14" s="14" t="s">
        <v>1521</v>
      </c>
      <c r="D14" s="14" t="str">
        <f ca="1">VLOOKUP($A14&amp;$B$1,'Export 3 Oct'!$B$6:$K$851,5, FALSE)</f>
        <v>Alongside disclosures (in line or on the same page)</v>
      </c>
      <c r="E14" s="12">
        <v>10</v>
      </c>
      <c r="F14" s="12"/>
      <c r="G14" s="12" t="str">
        <f ca="1">VLOOKUP($A14&amp;$B$1,'Export 3 Oct'!$B$6:$K$851,6, FALSE)</f>
        <v>https://wikirate.org/~21779953</v>
      </c>
      <c r="H14" s="14" t="str">
        <f ca="1">VLOOKUP($A14&amp;$B$1,'Export 3 Oct'!$B$6:$K$851,10, FALSE)</f>
        <v>pages 100 - 102 and 133-137 describe loosely where to find the information, e.g. section of the report or Annex and Table number, but I am not sure i would call it an Index Thomas Howie[https://wikirate.org/Thomas_Howie].....2025-08-15 15:05:49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https://wikirate.org/~21779953</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https://wikirate.org/~21779953</v>
      </c>
      <c r="H16" s="14"/>
      <c r="I16" s="12"/>
    </row>
    <row r="17" spans="1:9">
      <c r="A17" s="15" t="s">
        <v>1512</v>
      </c>
      <c r="B17" s="16"/>
      <c r="C17" s="17"/>
      <c r="D17" s="16"/>
      <c r="E17" s="17"/>
      <c r="F17" s="17"/>
      <c r="G17" s="17"/>
      <c r="H17" s="16"/>
      <c r="I17" s="12"/>
    </row>
    <row r="18" spans="1:9" ht="48">
      <c r="A18" s="13" t="s">
        <v>1195</v>
      </c>
      <c r="B18" s="14" t="s">
        <v>1508</v>
      </c>
      <c r="C18" s="12" t="s">
        <v>1523</v>
      </c>
      <c r="D18" s="14" t="str">
        <f ca="1">VLOOKUP($A18&amp;$B$1,'Export 3 Oct'!$B$6:$K$851,5, FALSE)</f>
        <v>Yes</v>
      </c>
      <c r="E18" s="12" t="s">
        <v>1515</v>
      </c>
      <c r="F18" s="12"/>
      <c r="G18" s="12" t="str">
        <f ca="1">VLOOKUP($A18&amp;$B$1,'Export 3 Oct'!$B$6:$K$851,6, FALSE)</f>
        <v>https://wikirate.org/~21779953</v>
      </c>
      <c r="H18" s="14" t="str">
        <f ca="1">VLOOKUP($A18&amp;$B$1,'Export 3 Oct'!$B$6:$K$851,10, FALSE)</f>
        <v>p123 (p127 in PDF viewer) Describes in detail their DMA process. And reference is made througout the document to the results of the DMA Thomas Howie[https://wikirate.org/Thomas_Howie].....2025-08-15 15:10:49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https://wikirate.org/~21779953</v>
      </c>
      <c r="H19" s="14"/>
      <c r="I19" s="12"/>
    </row>
    <row r="20" spans="1:9" ht="144">
      <c r="A20" s="13" t="s">
        <v>814</v>
      </c>
      <c r="B20" s="14" t="s">
        <v>1510</v>
      </c>
      <c r="C20" s="14" t="s">
        <v>1524</v>
      </c>
      <c r="D20" s="14" t="str">
        <f ca="1">VLOOKUP($A20&amp;$B$1,'Export 3 Oct'!$B$6:$K$851,5, FALSE)</f>
        <v>Limited assurance</v>
      </c>
      <c r="E20" s="12" t="s">
        <v>1515</v>
      </c>
      <c r="F20" s="12"/>
      <c r="G20" s="12" t="str">
        <f ca="1">VLOOKUP($A20&amp;$B$1,'Export 3 Oct'!$B$6:$K$851,6, FALSE)</f>
        <v>https://wikirate.org/~21779953</v>
      </c>
      <c r="H20" s="14" t="str">
        <f ca="1">VLOOKUP($A20&amp;$B$1,'Export 3 Oct'!$B$6:$K$851,10, FALSE)</f>
        <v>p7 (p11 in PDF viewer) "PricewaterhouseCoopers GmbH Wirtschaftspr√ºfungsgesellschaft, D√ºsseldorf, also audited the 2024 Group Sustainability Report (in full compliance with the ESRS) and issued an unqualified audit opinion as part of the limited assurance engagement." Thomas Howie[https://wikirate.org/Thomas_Howie].....2025-08-15 15:12:47 UTC p. 99 "In addition to the legally prescribed audit of the combined consolidated financial statements and Group Man- agement Report, Uniper‚Äôs Supervisory Board (together with the Board of Management) has asked an external auditing firm to perform an audit to attain limited assurance of the Group Sustainability Report based on a voluntary engagement. " Lucia Ixtacuy[https://wikirate.org/Lucia_Ixtacuy].....2025-08-21 15:39:45 UTC</v>
      </c>
      <c r="I20" s="12"/>
    </row>
    <row r="21" spans="1:9" ht="128">
      <c r="A21" s="13" t="s">
        <v>13</v>
      </c>
      <c r="B21" s="14" t="s">
        <v>1511</v>
      </c>
      <c r="C21" s="12" t="s">
        <v>1523</v>
      </c>
      <c r="D21" s="14" t="str">
        <f ca="1">VLOOKUP($A21&amp;$B$1,'Export 3 Oct'!$B$6:$K$851,5, FALSE)</f>
        <v>Yes</v>
      </c>
      <c r="E21" s="12" t="s">
        <v>1515</v>
      </c>
      <c r="F21" s="12"/>
      <c r="G21" s="12" t="str">
        <f ca="1">VLOOKUP($A21&amp;$B$1,'Export 3 Oct'!$B$6:$K$851,6, FALSE)</f>
        <v>https://wikirate.org/~21779953</v>
      </c>
      <c r="H21" s="14" t="str">
        <f ca="1">VLOOKUP($A21&amp;$B$1,'Export 3 Oct'!$B$6:$K$851,10, FALSE)</f>
        <v>p256 (p260 in PDF viewer) "In conducting our limited assurance engagement, we have, amongst other things: [...] performed site visits" Thomas Howie[https://wikirate.org/Thomas_Howie].....2025-08-15 15:15:51 UTC p. 114 ". On-site assessments of coal suppliers conducted through the Bettercoal program also provide a direct understanding of the interests, views and expectations of workers in the value chain, where applicable. These insights are incorporated into Uniper‚Äôs materiality assessment, ESG due diligence review and risk management and provide information about the collaboration with business partners for Uniper‚Äôs strategy and business model. " Lucia Ixtacuy[https://wikirate.org/Lucia_Ixtacuy].....2025-08-21 15:54:47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40051-431F-204B-8386-E60A0D24BD52}">
  <sheetPr codeName="Sheet50"/>
  <dimension ref="A1:I30"/>
  <sheetViews>
    <sheetView topLeftCell="A20"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Voith</v>
      </c>
    </row>
    <row r="2" spans="1:9" ht="23">
      <c r="A2" s="8" t="s">
        <v>1487</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https://wikirate.org/~22208863</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https://wikirate.org/~21496697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https://wikirate.org/~22208910</v>
      </c>
      <c r="H7" s="14"/>
      <c r="I7" s="12"/>
    </row>
    <row r="8" spans="1:9" ht="80">
      <c r="A8" s="13" t="s">
        <v>629</v>
      </c>
      <c r="B8" s="14" t="s">
        <v>1499</v>
      </c>
      <c r="C8" s="14" t="s">
        <v>1517</v>
      </c>
      <c r="D8" s="14" t="str">
        <f ca="1">VLOOKUP($A8&amp;$B$1,'Export 3 Oct'!$B$6:$K$851,5, FALSE)</f>
        <v>Yes</v>
      </c>
      <c r="E8" s="12">
        <v>10</v>
      </c>
      <c r="F8" s="12"/>
      <c r="G8" s="12" t="str">
        <f ca="1">VLOOKUP($A8&amp;$B$1,'Export 3 Oct'!$B$6:$K$851,6, FALSE)</f>
        <v>https://wikirate.org/~21496697</v>
      </c>
      <c r="H8" s="14" t="str">
        <f ca="1">VLOOKUP($A8&amp;$B$1,'Export 3 Oct'!$B$6:$K$851,10, FALSE)</f>
        <v>In the margin of the document there are reference to the policies or codes etc that are being referenced on that page, with (in most cases) direct links to those documents. In a few cases though, the link goes to a landing page where you can then download the document in question (not ideal for machine reading purposes). For examples see p. 18 Laureen van Breen[https://wikirate.org/Laureen_van_Breen].....2025-08-11 11:28:49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https://wikirate.org/~22208959</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https://wikirate.org/~21496697</v>
      </c>
      <c r="H10" s="14"/>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https://wikirate.org/~21496697</v>
      </c>
      <c r="H11" s="14" t="str">
        <f ca="1">VLOOKUP($A11&amp;$B$1,'Export 3 Oct'!$B$6:$K$851,10, FALSE)</f>
        <v>"The present report describes the progress made in the 2023/24 fiscal year, i.e. from October 1, 2023 to September 30, 2024." (p. 60) Laureen van Breen[https://wikirate.org/Laureen_van_Breen].....2025-08-11 12:01:03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https://wikirate.org/~21496697</v>
      </c>
      <c r="H12" s="14"/>
      <c r="I12" s="12"/>
    </row>
    <row r="13" spans="1:9" ht="208">
      <c r="A13" s="13" t="s">
        <v>1044</v>
      </c>
      <c r="B13" s="14" t="s">
        <v>1504</v>
      </c>
      <c r="C13" s="14" t="s">
        <v>1520</v>
      </c>
      <c r="D13" s="14" t="str">
        <f ca="1">VLOOKUP($A13&amp;$B$1,'Export 3 Oct'!$B$6:$K$851,5, FALSE)</f>
        <v>GRI Standards, Greenhouse Gas Protocol</v>
      </c>
      <c r="E13" s="12">
        <v>10</v>
      </c>
      <c r="F13" s="12"/>
      <c r="G13" s="12" t="str">
        <f ca="1">VLOOKUP($A13&amp;$B$1,'Export 3 Oct'!$B$6:$K$851,6, FALSE)</f>
        <v>https://wikirate.org/~21496697</v>
      </c>
      <c r="H13" s="14" t="str">
        <f ca="1">VLOOKUP($A13&amp;$B$1,'Export 3 Oct'!$B$6:$K$851,10, FALSE)</f>
        <v>"In its reporting, Voith follows the guidelines of the Global Reporting Initiative (GRI) and uses the corresponding GRI standards (2020) as an orientation." (p. 60) "This Sustainability Report is also a reflection of the shift in reporting according to the rules of the Global Reporting Initiative towards reporting according to the criteria of the European Corporate Sustainability Reporting Directive (CSRD). The report has been redesigned in line with this development and constitutes an intermediate step from one standard to the next." (p. 7) Laureen van Breen[https://wikirate.org/Laureen_van_Breen].....2025-08-11 12:06:05 UTC P53:"We collect data on our CO2 footprint in scopes 1, 2 and 3 in accordance with the guidelines of the GHG protocol (GHG = greenhouse gas)" Marc McGowan[https://wikirate.org/Marc_McGowan].....2025-08-27 09:12:38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https://wikirate.org/~21496697</v>
      </c>
      <c r="H14" s="14" t="str">
        <f ca="1">VLOOKUP($A14&amp;$B$1,'Export 3 Oct'!$B$6:$K$851,10, FALSE)</f>
        <v>p. 56-59 Laureen van Breen[https://wikirate.org/Laureen_van_Breen].....2025-08-11 12:07:58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https://wikirate.org/~21496697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https://wikirate.org/~21496697</v>
      </c>
      <c r="H16" s="14"/>
      <c r="I16" s="12"/>
    </row>
    <row r="17" spans="1:9">
      <c r="A17" s="15" t="s">
        <v>1512</v>
      </c>
      <c r="B17" s="16"/>
      <c r="C17" s="17"/>
      <c r="D17" s="16"/>
      <c r="E17" s="17"/>
      <c r="F17" s="17"/>
      <c r="G17" s="17"/>
      <c r="H17" s="16"/>
      <c r="I17" s="12"/>
    </row>
    <row r="18" spans="1:9" ht="128">
      <c r="A18" s="13" t="s">
        <v>1195</v>
      </c>
      <c r="B18" s="14" t="s">
        <v>1508</v>
      </c>
      <c r="C18" s="12" t="s">
        <v>1523</v>
      </c>
      <c r="D18" s="14" t="str">
        <f ca="1">VLOOKUP($A18&amp;$B$1,'Export 3 Oct'!$B$6:$K$851,5, FALSE)</f>
        <v>Yes</v>
      </c>
      <c r="E18" s="12" t="s">
        <v>1515</v>
      </c>
      <c r="F18" s="12"/>
      <c r="G18" s="12" t="str">
        <f ca="1">VLOOKUP($A18&amp;$B$1,'Export 3 Oct'!$B$6:$K$851,6, FALSE)</f>
        <v>https://wikirate.org/~21496697</v>
      </c>
      <c r="H18" s="14" t="str">
        <f ca="1">VLOOKUP($A18&amp;$B$1,'Export 3 Oct'!$B$6:$K$851,10, FALSE)</f>
        <v>They do not actually mention 'double materiality', but their description of their materiality assessment shows they do apply the double materiality concept. "When assessing the materiality of a topic, not only the impact but also the risks and opportunities associated were examined and assessed. This makes it possible to differentiate between the two perspectives already mentioned above: ‚Ä¢ Inside-out perspective: Here, the influence or the impact of the Company on people and the environment is examined. ‚Ä¢ Outside-in perspective: Here, the financial impact on the Company is examined, i.e., the opportunities and risks." (p. 20) Laureen van Breen[https://wikirate.org/Laureen_van_Breen].....2025-08-11 12:12:35 UTC</v>
      </c>
      <c r="I18" s="12"/>
    </row>
    <row r="19" spans="1:9" ht="176">
      <c r="A19" s="13" t="s">
        <v>1280</v>
      </c>
      <c r="B19" s="14" t="s">
        <v>1509</v>
      </c>
      <c r="C19" s="12" t="s">
        <v>1523</v>
      </c>
      <c r="D19" s="14" t="str">
        <f ca="1">VLOOKUP($A19&amp;$B$1,'Export 3 Oct'!$B$6:$K$851,5, FALSE)</f>
        <v>Yes</v>
      </c>
      <c r="E19" s="12" t="s">
        <v>1515</v>
      </c>
      <c r="F19" s="12"/>
      <c r="G19" s="12" t="str">
        <f ca="1">VLOOKUP($A19&amp;$B$1,'Export 3 Oct'!$B$6:$K$851,6, FALSE)</f>
        <v>https://wikirate.org/~21496697</v>
      </c>
      <c r="H19" s="14" t="str">
        <f ca="1">VLOOKUP($A19&amp;$B$1,'Export 3 Oct'!$B$6:$K$851,10, FALSE)</f>
        <v>"We always consider our activities as a company within the context of societal developments. Through participating in public debates and contributing our expertise, we support the political decision-making process. We are convinced that our expertise makes an important contribution to overcoming the manifold current and future challenges facing society. Voith performs these tasks through memberships in industry associations and other organizations. In addition, we foster a direct exchange with multipliers. Voith is actively involved in 573 associations, initiatives, and other interest groups (compared to 587 in the previous year). The total cost of membership contributions amounts to ‚Ç¨2.5 million (down from ‚Ç¨2.6 million the previous year)." (p. 14) "Voith does not make any donations to political parties or any comparable party-political organizations and their activities such as party events or campaigns. " (p. 14) Laureen van Breen[https://wikirate.org/Laureen_van_Breen].....2025-08-11 12:17:42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https://wikirate.org/~21496697</v>
      </c>
      <c r="H20" s="14" t="str">
        <f ca="1">VLOOKUP($A20&amp;$B$1,'Export 3 Oct'!$B$6:$K$851,10, FALSE)</f>
        <v>"An external audit of the content was not performed." (p. 60) Laureen van Breen[https://wikirate.org/Laureen_van_Breen].....2025-08-11 12:27:58 UTC</v>
      </c>
      <c r="I20" s="12"/>
    </row>
    <row r="21" spans="1:9" ht="112">
      <c r="A21" s="13" t="s">
        <v>13</v>
      </c>
      <c r="B21" s="14" t="s">
        <v>1511</v>
      </c>
      <c r="C21" s="12" t="s">
        <v>1523</v>
      </c>
      <c r="D21" s="14" t="str">
        <f ca="1">VLOOKUP($A21&amp;$B$1,'Export 3 Oct'!$B$6:$K$851,5, FALSE)</f>
        <v>Yes</v>
      </c>
      <c r="E21" s="12" t="s">
        <v>1515</v>
      </c>
      <c r="F21" s="12"/>
      <c r="G21" s="12" t="str">
        <f ca="1">VLOOKUP($A21&amp;$B$1,'Export 3 Oct'!$B$6:$K$851,6, FALSE)</f>
        <v>https://wikirate.org/~21496697</v>
      </c>
      <c r="H21" s="14" t="str">
        <f ca="1">VLOOKUP($A21&amp;$B$1,'Export 3 Oct'!$B$6:$K$851,10, FALSE)</f>
        <v>"In the event of human rights or environmental incidents at a direct supplier, it is necessary to run through a defined escalation process. This process describes among other things how the incident is to be examined and how to draft an action plan together with the supplier. One possibility of how to review the circumstances or the drafted action plan is to perform a Supply Chain Act review or a supplier audit on site. This procedure also applies to indirect suppliers in the event of reported or known infringements." (p. 30) Laureen van Breen[https://wikirate.org/Laureen_van_Breen].....2025-08-11 12:26:54 UTC</v>
      </c>
      <c r="I21" s="12"/>
    </row>
    <row r="26" spans="1:9">
      <c r="A26" s="39" t="s">
        <v>1634</v>
      </c>
    </row>
    <row r="27" spans="1:9">
      <c r="A27" s="38" t="s">
        <v>1630</v>
      </c>
      <c r="B27" s="40">
        <f>AVERAGE($E$5,$E$6,$E$7)</f>
        <v>6.333333333333333</v>
      </c>
    </row>
    <row r="28" spans="1:9">
      <c r="A28" s="38" t="s">
        <v>1631</v>
      </c>
      <c r="B28" s="40">
        <f>AVERAGE($E$8,$E$9)</f>
        <v>7.5</v>
      </c>
    </row>
    <row r="29" spans="1:9">
      <c r="A29" s="38" t="s">
        <v>1632</v>
      </c>
      <c r="B29" s="40">
        <f>AVERAGE($E$10,$E$11,$E$12,$E$13,$E$14)</f>
        <v>7</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74A16-252B-CF4B-9951-B5DC3729CDBD}">
  <sheetPr codeName="Sheet51"/>
  <dimension ref="A1:I30"/>
  <sheetViews>
    <sheetView topLeftCell="A17"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Volkswagen AG</v>
      </c>
    </row>
    <row r="2" spans="1:9" ht="23">
      <c r="A2" s="8" t="s">
        <v>1616</v>
      </c>
      <c r="B2" s="18">
        <f>SUM(E5:E16)/12</f>
        <v>5.75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https://wikirate.org/~22197759</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https://wikirate.org/~21476045</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https://wikirate.org/~22197839</v>
      </c>
      <c r="H7" s="14" t="str">
        <f ca="1">VLOOKUP($A7&amp;$B$1,'Export 3 Oct'!$B$6:$K$851,10, FALSE)</f>
        <v>Archive of sustainability reports back to 2017 Marc McGowan[https://wikirate.org/Marc_McGowan].....2025-08-05 15:09:47 UTC</v>
      </c>
      <c r="I7" s="12"/>
    </row>
    <row r="8" spans="1:9" ht="32">
      <c r="A8" s="13" t="s">
        <v>629</v>
      </c>
      <c r="B8" s="14" t="s">
        <v>1499</v>
      </c>
      <c r="C8" s="14" t="s">
        <v>1517</v>
      </c>
      <c r="D8" s="14" t="str">
        <f ca="1">VLOOKUP($A8&amp;$B$1,'Export 3 Oct'!$B$6:$K$851,5, FALSE)</f>
        <v>No</v>
      </c>
      <c r="E8" s="12">
        <v>0</v>
      </c>
      <c r="F8" s="12"/>
      <c r="G8" s="12" t="str">
        <f ca="1">VLOOKUP($A8&amp;$B$1,'Export 3 Oct'!$B$6:$K$851,6, FALSE)</f>
        <v>https://wikirate.org/~21485273</v>
      </c>
      <c r="H8" s="14"/>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https://wikirate.org/~21485310</v>
      </c>
      <c r="H9" s="14"/>
      <c r="I9" s="12"/>
    </row>
    <row r="10" spans="1:9" ht="192">
      <c r="A10" s="13" t="s">
        <v>328</v>
      </c>
      <c r="B10" s="14" t="s">
        <v>1501</v>
      </c>
      <c r="C10" s="14" t="s">
        <v>1519</v>
      </c>
      <c r="D10" s="14" t="str">
        <f ca="1">VLOOKUP($A10&amp;$B$1,'Export 3 Oct'!$B$6:$K$851,5, FALSE)</f>
        <v>Company Registration Number/ID</v>
      </c>
      <c r="E10" s="12">
        <v>10</v>
      </c>
      <c r="F10" s="12"/>
      <c r="G10" s="12" t="str">
        <f ca="1">VLOOKUP($A10&amp;$B$1,'Export 3 Oct'!$B$6:$K$851,6, FALSE)</f>
        <v>https://wikirate.org/~21485273</v>
      </c>
      <c r="H10" s="14" t="str">
        <f ca="1">VLOOKUP($A10&amp;$B$1,'Export 3 Oct'!$B$6:$K$851,10, FALSE)</f>
        <v>page 640 Sina Kirsch[https://wikirate.org/Sina_Kirsch].....2025-06-08 20:43:05 UTC I didn't find a LEI p. 640 and more specifically p. 640 does not identify which reporting entities are covered in the report. p. 229 the beginning of the sustainability report (inserted in the annual report) does list entities covered by the report but does not use any entity IDs. Yohann[https://wikirate.org/Yohann].....2025-08-07 08:09:11 UTC There is a list of companies listed with their lobby and transparency IDs: "Volkswagen AG (R001681), Dr. Ing. h.c. F. Porsche AG (R001768), TRATON SE (R001565), VW Financial Services AG (R001704), PowerCo (R006923), AUDI AG (R001702), MAN Truck &amp; Bus SE (R001638), Cariad (R006271), MOIA (R000349), MAN Energy Solutions SE (R001653), and Volkswagen Group Charging GmbH (R001890) are registered in the Lobbying Register of the German Bundestag. Volkswagen Aktiengesellschaft (REG number: 6504541970 - 40), Scania AB (publ) (REG number: 3305029916-47), MAN Energy Solutions SE (REG number: 1012...</v>
      </c>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https://wikirate.org/~21485273</v>
      </c>
      <c r="H11" s="14" t="str">
        <f ca="1">VLOOKUP($A11&amp;$B$1,'Export 3 Oct'!$B$6:$K$851,10, FALSE)</f>
        <v>page 16 Sina Kirsch[https://wikirate.org/Sina_Kirsch].....2025-06-08 20:52:56 UTC January 1st to December 31st 2024 Yohann[https://wikirate.org/Yohann].....2025-08-07 08:16:52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https://wikirate.org/~21485273</v>
      </c>
      <c r="H12" s="14"/>
      <c r="I12" s="12"/>
    </row>
    <row r="13" spans="1:9" ht="208">
      <c r="A13" s="13" t="s">
        <v>1044</v>
      </c>
      <c r="B13" s="14" t="s">
        <v>1504</v>
      </c>
      <c r="C13" s="14" t="s">
        <v>1520</v>
      </c>
      <c r="D13" s="14" t="str">
        <f ca="1">VLOOKUP($A13&amp;$B$1,'Export 3 Oct'!$B$6:$K$851,5, FALSE)</f>
        <v>GRI Standards, CSRD (ESRS), Greenhouse Gas Protocol</v>
      </c>
      <c r="E13" s="12">
        <v>10</v>
      </c>
      <c r="F13" s="12"/>
      <c r="G13" s="12" t="str">
        <f ca="1">VLOOKUP($A13&amp;$B$1,'Export 3 Oct'!$B$6:$K$851,6, FALSE)</f>
        <v>https://wikirate.org/~21485273</v>
      </c>
      <c r="H13" s="14" t="str">
        <f ca="1">VLOOKUP($A13&amp;$B$1,'Export 3 Oct'!$B$6:$K$851,10, FALSE)</f>
        <v>P141: The Greenhouse Gas Protocol (GHG) used as part of calculations P277: "Decarbonization index* ‚îÇGRI 305-4 WLTP" P445: ERRS index Marc McGowan[https://wikirate.org/Marc_McGowan].....2025-08-06 07:19:51 UTC p. 478 "478 Consolidated Financial Statements Notes New and amended IFRSs not applied" Lucia Ixtacuy[https://wikirate.org/Lucia_Ixtacuy].....2025-08-25 19:22:54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https://wikirate.org/~21476045</v>
      </c>
      <c r="H14" s="14" t="str">
        <f ca="1">VLOOKUP($A14&amp;$B$1,'Export 3 Oct'!$B$6:$K$851,10, FALSE)</f>
        <v>page 445 Sina Kirsch[https://wikirate.org/Sina_Kirsch].....2025-06-08 20:56:29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https://wikirate.org/~21485273</v>
      </c>
      <c r="H15" s="14" t="str">
        <f ca="1">VLOOKUP($A15&amp;$B$1,'Export 3 Oct'!$B$6:$K$851,10, FALSE)</f>
        <v>page 659, other matters - use of auditor's report Sina Kirsch[https://wikirate.org/Sina_Kirsch].....2025-06-08 21:02:45 UTC</v>
      </c>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https://wikirate.org/~21485273</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Yes</v>
      </c>
      <c r="E18" s="12" t="s">
        <v>1515</v>
      </c>
      <c r="F18" s="12"/>
      <c r="G18" s="12" t="str">
        <f ca="1">VLOOKUP($A18&amp;$B$1,'Export 3 Oct'!$B$6:$K$851,6, FALSE)</f>
        <v>https://wikirate.org/~21485273</v>
      </c>
      <c r="H18" s="14" t="str">
        <f ca="1">VLOOKUP($A18&amp;$B$1,'Export 3 Oct'!$B$6:$K$851,10, FALSE)</f>
        <v>P241: "In accordance with the requirements of the ESRS, the Volkswagen Group performed a double materiality assessment, which is also referred to as a materiality assessment in the following. A detailed description is provided under ‚ÄúProcedure for and results of the double materiality assessment‚Äù. " Marc McGowan[https://wikirate.org/Marc_McGowan].....2025-08-06 07:30:01 UTC</v>
      </c>
      <c r="I18" s="12"/>
    </row>
    <row r="19" spans="1:9" ht="80">
      <c r="A19" s="13" t="s">
        <v>1280</v>
      </c>
      <c r="B19" s="14" t="s">
        <v>1509</v>
      </c>
      <c r="C19" s="12" t="s">
        <v>1523</v>
      </c>
      <c r="D19" s="14" t="str">
        <f ca="1">VLOOKUP($A19&amp;$B$1,'Export 3 Oct'!$B$6:$K$851,5, FALSE)</f>
        <v>Yes</v>
      </c>
      <c r="E19" s="12" t="s">
        <v>1515</v>
      </c>
      <c r="F19" s="12"/>
      <c r="G19" s="12" t="str">
        <f ca="1">VLOOKUP($A19&amp;$B$1,'Export 3 Oct'!$B$6:$K$851,6, FALSE)</f>
        <v>https://wikirate.org/~21485273</v>
      </c>
      <c r="H19" s="14" t="str">
        <f ca="1">VLOOKUP($A19&amp;$B$1,'Export 3 Oct'!$B$6:$K$851,10, FALSE)</f>
        <v>P240: "The value of financial and in-kind political contributions made directly and indirectly by the fully consolidated companies amounted to ‚Ç¨92 thousand in 2024." Note: "Due to the specific definitions in the ESRS, the figures in this report differ from those entered in lobby registers. As such, this report does not include all the figures from entries in lobby registers." Marc McGowan[https://wikirate.org/Marc_McGowan].....2025-08-06 07:38:55 UTC</v>
      </c>
      <c r="I19" s="12"/>
    </row>
    <row r="20" spans="1:9" ht="48">
      <c r="A20" s="13" t="s">
        <v>814</v>
      </c>
      <c r="B20" s="14" t="s">
        <v>1510</v>
      </c>
      <c r="C20" s="14" t="s">
        <v>1524</v>
      </c>
      <c r="D20" s="14" t="str">
        <f ca="1">VLOOKUP($A20&amp;$B$1,'Export 3 Oct'!$B$6:$K$851,5, FALSE)</f>
        <v>Limited assurance, Reasonable assurance</v>
      </c>
      <c r="E20" s="12" t="s">
        <v>1515</v>
      </c>
      <c r="F20" s="12"/>
      <c r="G20" s="12" t="str">
        <f ca="1">VLOOKUP($A20&amp;$B$1,'Export 3 Oct'!$B$6:$K$851,6, FALSE)</f>
        <v>https://wikirate.org/~21485273</v>
      </c>
      <c r="H20" s="14" t="str">
        <f ca="1">VLOOKUP($A20&amp;$B$1,'Export 3 Oct'!$B$6:$K$851,10, FALSE)</f>
        <v>page 661 Sina Kirsch[https://wikirate.org/Sina_Kirsch].....2025-06-08 21:26:41 UTC both limited and reasonable. p. 661 of the report. It is not possible to select to answer. Lucia Ixtacuy[https://wikirate.org/Lucia_Ixtacuy].....2025-08-25 15:48:36 UTC</v>
      </c>
      <c r="I20" s="12"/>
    </row>
    <row r="21" spans="1:9" ht="96">
      <c r="A21" s="13" t="s">
        <v>13</v>
      </c>
      <c r="B21" s="14" t="s">
        <v>1511</v>
      </c>
      <c r="C21" s="12" t="s">
        <v>1523</v>
      </c>
      <c r="D21" s="14" t="str">
        <f ca="1">VLOOKUP($A21&amp;$B$1,'Export 3 Oct'!$B$6:$K$851,5, FALSE)</f>
        <v>Yes</v>
      </c>
      <c r="E21" s="12" t="s">
        <v>1515</v>
      </c>
      <c r="F21" s="12"/>
      <c r="G21" s="12" t="str">
        <f ca="1">VLOOKUP($A21&amp;$B$1,'Export 3 Oct'!$B$6:$K$851,6, FALSE)</f>
        <v>https://wikirate.org/~21485273</v>
      </c>
      <c r="H21" s="14" t="str">
        <f ca="1">VLOOKUP($A21&amp;$B$1,'Export 3 Oct'!$B$6:$K$851,10, FALSE)</f>
        <v>P394: "The Volkswagen Group responds to negative impacts in the areas of working conditions and other workrelated rights. Preventive actions within the ReSC system have an impact here, including confirmation of the Code of Conduct for Business Partners, the sustainability rating (S-Rating), training courses for suppliers, and the HRFS, as do mitigation and remedial action such as the supply chain grievance mechanism (SCGM) and supplier audits." Marc McGowan[https://wikirate.org/Marc_McGowan].....2025-08-06 07:44:07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8</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D8C36-0361-104E-A6F6-E3300BF2F848}">
  <sheetPr codeName="Sheet52"/>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Wacker Chemie</v>
      </c>
    </row>
    <row r="2" spans="1:9" ht="23">
      <c r="A2" s="8" t="s">
        <v>1616</v>
      </c>
      <c r="B2" s="18">
        <f>SUM(E5:E16)/12</f>
        <v>6.166666666666667</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 Central database</v>
      </c>
      <c r="E5" s="12">
        <v>10</v>
      </c>
      <c r="F5" s="12"/>
      <c r="G5" s="12" t="str">
        <f ca="1">VLOOKUP($A5&amp;$B$1,'Export 3 Oct'!$B$6:$K$851,6, FALSE)</f>
        <v>https://wikirate.org/~22249848</v>
      </c>
      <c r="H5" s="14" t="str">
        <f ca="1">VLOOKUP($A5&amp;$B$1,'Export 3 Oct'!$B$6:$K$851,10, FALSE)</f>
        <v>On www.annualreports.com[http://www.annualreports.com] Thomas Howie[https://wikirate.org/Thomas_Howie].....2025-08-27 11:13:28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https://wikirate.org/~21496047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https://wikirate.org/~22249848</v>
      </c>
      <c r="H7" s="14"/>
      <c r="I7" s="12"/>
    </row>
    <row r="8" spans="1:9" ht="64">
      <c r="A8" s="13" t="s">
        <v>629</v>
      </c>
      <c r="B8" s="14" t="s">
        <v>1499</v>
      </c>
      <c r="C8" s="14" t="s">
        <v>1517</v>
      </c>
      <c r="D8" s="14" t="str">
        <f ca="1">VLOOKUP($A8&amp;$B$1,'Export 3 Oct'!$B$6:$K$851,5, FALSE)</f>
        <v>No</v>
      </c>
      <c r="E8" s="12">
        <v>0</v>
      </c>
      <c r="F8" s="12"/>
      <c r="G8" s="12" t="str">
        <f ca="1">VLOOKUP($A8&amp;$B$1,'Export 3 Oct'!$B$6:$K$851,6, FALSE)</f>
        <v>https://wikirate.org/~21496047</v>
      </c>
      <c r="H8" s="14" t="str">
        <f ca="1">VLOOKUP($A8&amp;$B$1,'Export 3 Oct'!$B$6:$K$851,10, FALSE)</f>
        <v>There is a direct link, but only goes to another section of the report Thomas Howie[https://wikirate.org/Thomas_Howie].....2025-08-27 11:15:37 UTC No direct links for mentions of Human Rights Policy, Code of Conduct, Supplier Code of Conduct... Aureliane[https://wikirate.org/Aureliane].....2025-09-01 10:11:01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https://wikirate.org/~22249848</v>
      </c>
      <c r="H9" s="14" t="str">
        <f ca="1">VLOOKUP($A9&amp;$B$1,'Export 3 Oct'!$B$6:$K$851,10, FALSE)</f>
        <v>Under Sustainability -&gt; Human Rights -&gt; there is a list of reports to download at the bottom of the page. It contains the latest Supplier Code of Conduct and Human Rights Statement. More reports are available under the "Supply Chain" sections. Aureliane[https://wikirate.org/Aureliane].....2025-09-01 10:15:52 UTC</v>
      </c>
      <c r="I9" s="12"/>
    </row>
    <row r="10" spans="1:9" ht="192">
      <c r="A10" s="13" t="s">
        <v>328</v>
      </c>
      <c r="B10" s="14" t="s">
        <v>1501</v>
      </c>
      <c r="C10" s="14" t="s">
        <v>1519</v>
      </c>
      <c r="D10" s="14" t="str">
        <f ca="1">VLOOKUP($A10&amp;$B$1,'Export 3 Oct'!$B$6:$K$851,5, FALSE)</f>
        <v>Company Registration Number/ID, Tax ID</v>
      </c>
      <c r="E10" s="12">
        <v>10</v>
      </c>
      <c r="F10" s="12"/>
      <c r="G10" s="12" t="str">
        <f ca="1">VLOOKUP($A10&amp;$B$1,'Export 3 Oct'!$B$6:$K$851,6, FALSE)</f>
        <v>https://wikirate.org/~21496047</v>
      </c>
      <c r="H10" s="14" t="str">
        <f ca="1">VLOOKUP($A10&amp;$B$1,'Export 3 Oct'!$B$6:$K$851,10, FALSE)</f>
        <v>p345 Thomas Howie[https://wikirate.org/Thomas_Howie].....2025-08-27 11:17:36 UTC p. 345: VAT ID and national registration number Munich District Court HRB 159705 VAT ID no.: DE129275094 Aureliane[https://wikirate.org/Aureliane].....2025-09-01 10:17:22 UTC</v>
      </c>
      <c r="I10" s="12"/>
    </row>
    <row r="11" spans="1:9" ht="48">
      <c r="A11" s="13" t="s">
        <v>412</v>
      </c>
      <c r="B11" s="14" t="s">
        <v>1502</v>
      </c>
      <c r="C11" s="14" t="s">
        <v>1517</v>
      </c>
      <c r="D11" s="14" t="str">
        <f ca="1">VLOOKUP($A11&amp;$B$1,'Export 3 Oct'!$B$6:$K$851,5, FALSE)</f>
        <v>Yes</v>
      </c>
      <c r="E11" s="12">
        <v>10</v>
      </c>
      <c r="F11" s="12"/>
      <c r="G11" s="12" t="str">
        <f ca="1">VLOOKUP($A11&amp;$B$1,'Export 3 Oct'!$B$6:$K$851,6, FALSE)</f>
        <v>https://wikirate.org/~21496047</v>
      </c>
      <c r="H11" s="14" t="str">
        <f ca="1">VLOOKUP($A11&amp;$B$1,'Export 3 Oct'!$B$6:$K$851,10, FALSE)</f>
        <v>p123 "The reporting period extends from January 1, 2024 to December 31, 2024 and corresponds to the period covered by the consolidated financial statements." Thomas Howie[https://wikirate.org/Thomas_Howie].....2025-08-27 11:22:13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https://wikirate.org/~21496047</v>
      </c>
      <c r="H12" s="14"/>
      <c r="I12" s="12"/>
    </row>
    <row r="13" spans="1:9" ht="208">
      <c r="A13" s="13" t="s">
        <v>1044</v>
      </c>
      <c r="B13" s="14" t="s">
        <v>1504</v>
      </c>
      <c r="C13" s="14" t="s">
        <v>1520</v>
      </c>
      <c r="D13" s="14" t="str">
        <f ca="1">VLOOKUP($A13&amp;$B$1,'Export 3 Oct'!$B$6:$K$851,5, FALSE)</f>
        <v>GRI Standards, CSRD (ESRS)</v>
      </c>
      <c r="E13" s="12">
        <v>10</v>
      </c>
      <c r="F13" s="12"/>
      <c r="G13" s="12" t="str">
        <f ca="1">VLOOKUP($A13&amp;$B$1,'Export 3 Oct'!$B$6:$K$851,6, FALSE)</f>
        <v>https://wikirate.org/~21496047</v>
      </c>
      <c r="H13" s="14" t="str">
        <f ca="1">VLOOKUP($A13&amp;$B$1,'Export 3 Oct'!$B$6:$K$851,10, FALSE)</f>
        <v>p122 "The European Sustainability Reporting Standards (ESRS) are being used in their entirety for the first time as a framework for the Group declaration in accordance with Section 315c (3) in conjunction with Section 289d HGB due to the importance of ESRS as reporting standards adopted by the European Commission for sustainability reporting." "In accordance with the joint statement of interoperability published by EFRAG and GRI on August 31, 2023, entities reporting under ESRS are considered as reporting with reference to GRI Standards as well. The audit only covered ESRS-compliant reporting" Thomas Howie[https://wikirate.org/Thomas_Howie].....2025-08-27 11:31:14 UTC IFRS is used for financial reporting Aureliane[https://wikirate.org/Aureliane].....2025-09-01 10:19:31 UTC</v>
      </c>
      <c r="I13" s="12"/>
    </row>
    <row r="14" spans="1:9" ht="128">
      <c r="A14" s="13" t="s">
        <v>495</v>
      </c>
      <c r="B14" s="14" t="s">
        <v>1505</v>
      </c>
      <c r="C14" s="14" t="s">
        <v>1521</v>
      </c>
      <c r="D14" s="14" t="str">
        <f ca="1">VLOOKUP($A14&amp;$B$1,'Export 3 Oct'!$B$6:$K$851,5, FALSE)</f>
        <v>Index with page references</v>
      </c>
      <c r="E14" s="12">
        <v>5</v>
      </c>
      <c r="F14" s="12"/>
      <c r="G14" s="12" t="str">
        <f ca="1">VLOOKUP($A14&amp;$B$1,'Export 3 Oct'!$B$6:$K$851,6, FALSE)</f>
        <v>https://wikirate.org/~21496047</v>
      </c>
      <c r="H14" s="14" t="str">
        <f ca="1">VLOOKUP($A14&amp;$B$1,'Export 3 Oct'!$B$6:$K$851,10, FALSE)</f>
        <v>No page numbers include in index, but a clickable link embedded within the text is. Thomas Howie[https://wikirate.org/Thomas_Howie].....2025-08-27 11:37:14 UTC p222 Thomas Howie[https://wikirate.org/Thomas_Howie].....2025-08-27 11:38:47 UTC</v>
      </c>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https://wikirate.org/~21496047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https://wikirate.org/~21496047</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Yes</v>
      </c>
      <c r="E18" s="12" t="s">
        <v>1515</v>
      </c>
      <c r="F18" s="12"/>
      <c r="G18" s="12" t="str">
        <f ca="1">VLOOKUP($A18&amp;$B$1,'Export 3 Oct'!$B$6:$K$851,6, FALSE)</f>
        <v>https://wikirate.org/~21496047</v>
      </c>
      <c r="H18" s="14" t="str">
        <f ca="1">VLOOKUP($A18&amp;$B$1,'Export 3 Oct'!$B$6:$K$851,10, FALSE)</f>
        <v>p137 "In 2024, we initiated a comprehensive process to assess double materiality in line with the EU‚Äôs Corporate Sustainability Reporting Directive (CSRD) and the accompanying European Sustainability Reporting Standards (ESRS). This enabled us to deepen our understanding of the material aspects for our stakeholders." Thomas Howie[https://wikirate.org/Thomas_Howie].....2025-08-27 11:41:12 UTC</v>
      </c>
      <c r="I18" s="12"/>
    </row>
    <row r="19" spans="1:9" ht="176">
      <c r="A19" s="13" t="s">
        <v>1280</v>
      </c>
      <c r="B19" s="14" t="s">
        <v>1509</v>
      </c>
      <c r="C19" s="12" t="s">
        <v>1523</v>
      </c>
      <c r="D19" s="14" t="str">
        <f ca="1">VLOOKUP($A19&amp;$B$1,'Export 3 Oct'!$B$6:$K$851,5, FALSE)</f>
        <v>No</v>
      </c>
      <c r="E19" s="12" t="s">
        <v>1515</v>
      </c>
      <c r="F19" s="12"/>
      <c r="G19" s="12" t="str">
        <f ca="1">VLOOKUP($A19&amp;$B$1,'Export 3 Oct'!$B$6:$K$851,6, FALSE)</f>
        <v>https://wikirate.org/~21496047</v>
      </c>
      <c r="H19" s="14" t="str">
        <f ca="1">VLOOKUP($A19&amp;$B$1,'Export 3 Oct'!$B$6:$K$851,10, FALSE)</f>
        <v>The company regards its lobbying activities as material. Lobbying functions within the company are described, but the overall budget is not disclosed. The report states that "WACKER did not make any material donation payments" - suggesting that the company didn't make political contributions. p. 212 Our Lobbying function falls under the responsibility of the full Executive Board. Within our Group organization, it is Wacker Chemie AG‚Äôs Legal and Compliance department that is responsible and reports to the president and CEO. In Europe, two Legal and Compliance department employees in Berlin and Brussels, respectively, are responsible for our lobbying. In the USA and China, these activities are conducted by local organizational units led by the central Legal and Compliance department.The CEO actively participates in public debate in the form of interviews, appearances at symposiums, and statements that we publish on our website. In the year under review, WACKER did not make any material donation payments. Aur...</v>
      </c>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https://wikirate.org/~21496047</v>
      </c>
      <c r="H20" s="14" t="str">
        <f ca="1">VLOOKUP($A20&amp;$B$1,'Export 3 Oct'!$B$6:$K$851,10, FALSE)</f>
        <v>p326 "Reproduction of the assurance report of the independent german public auditor on a limited assurance engagement in relation to the Group Sustainability Report" Thomas Howie[https://wikirate.org/Thomas_Howie].....2025-08-27 11:43:54 UTC</v>
      </c>
      <c r="I20" s="12"/>
    </row>
    <row r="21" spans="1:9" ht="128">
      <c r="A21" s="13" t="s">
        <v>13</v>
      </c>
      <c r="B21" s="14" t="s">
        <v>1511</v>
      </c>
      <c r="C21" s="12" t="s">
        <v>1523</v>
      </c>
      <c r="D21" s="14" t="str">
        <f ca="1">VLOOKUP($A21&amp;$B$1,'Export 3 Oct'!$B$6:$K$851,5, FALSE)</f>
        <v>Yes</v>
      </c>
      <c r="E21" s="12" t="s">
        <v>1515</v>
      </c>
      <c r="F21" s="12"/>
      <c r="G21" s="12" t="str">
        <f ca="1">VLOOKUP($A21&amp;$B$1,'Export 3 Oct'!$B$6:$K$851,6, FALSE)</f>
        <v>https://wikirate.org/~21496047</v>
      </c>
      <c r="H21" s="14" t="str">
        <f ca="1">VLOOKUP($A21&amp;$B$1,'Export 3 Oct'!$B$6:$K$851,10, FALSE)</f>
        <v>p329 Thomas Howie[https://wikirate.org/Thomas_Howie].....2025-08-27 11:45:13 UTC p. 200 "Based on the findings of supplier audits (sector analyses, surveys, expert opinions), we consider occupational safety to be particularly relevant to workers of our direct suppliers in production operations." p.202 "The remedies are intended to ensure that any suspicion of human rights violations are reported and uncovered in good time. We use talks or repeat audits with the respective suppliers to monitor their progress and status. Results and remedies are documented and tracked in an internal WACKER dashboard." ...and many other examples Aureliane[https://wikirate.org/Aureliane].....2025-09-01 10:27:59 UTC</v>
      </c>
      <c r="I21" s="12"/>
    </row>
    <row r="26" spans="1:9">
      <c r="A26" s="39" t="s">
        <v>1634</v>
      </c>
    </row>
    <row r="27" spans="1:9">
      <c r="A27" s="38" t="s">
        <v>1630</v>
      </c>
      <c r="B27" s="40">
        <f>AVERAGE($E$5,$E$6,$E$7)</f>
        <v>8</v>
      </c>
    </row>
    <row r="28" spans="1:9">
      <c r="A28" s="38" t="s">
        <v>1631</v>
      </c>
      <c r="B28" s="40">
        <f>AVERAGE($E$8,$E$9)</f>
        <v>2.5</v>
      </c>
    </row>
    <row r="29" spans="1:9">
      <c r="A29" s="38" t="s">
        <v>1632</v>
      </c>
      <c r="B29" s="40">
        <f>AVERAGE($E$10,$E$11,$E$12,$E$13,$E$14)</f>
        <v>9</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51D53-B3BF-7742-872C-9647C91F57B3}">
  <sheetPr codeName="Sheet53"/>
  <dimension ref="A1:I30"/>
  <sheetViews>
    <sheetView topLeftCell="A18"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ZF Friedrichshafen</v>
      </c>
    </row>
    <row r="2" spans="1:9" ht="23">
      <c r="A2" s="8" t="s">
        <v>1616</v>
      </c>
      <c r="B2" s="18">
        <f>SUM(E5:E16)/12</f>
        <v>4.083333333333333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https://wikirate.org/~22205874</v>
      </c>
      <c r="H5" s="14"/>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https://wikirate.org/~22205867</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https://wikirate.org/~22205874</v>
      </c>
      <c r="H7" s="14"/>
      <c r="I7" s="12"/>
    </row>
    <row r="8" spans="1:9" ht="64">
      <c r="A8" s="13" t="s">
        <v>629</v>
      </c>
      <c r="B8" s="14" t="s">
        <v>1499</v>
      </c>
      <c r="C8" s="14" t="s">
        <v>1517</v>
      </c>
      <c r="D8" s="14" t="str">
        <f ca="1">VLOOKUP($A8&amp;$B$1,'Export 3 Oct'!$B$6:$K$851,5, FALSE)</f>
        <v>No</v>
      </c>
      <c r="E8" s="12">
        <v>0</v>
      </c>
      <c r="F8" s="12"/>
      <c r="G8" s="12" t="str">
        <f ca="1">VLOOKUP($A8&amp;$B$1,'Export 3 Oct'!$B$6:$K$851,6, FALSE)</f>
        <v>https://wikirate.org/~22205867</v>
      </c>
      <c r="H8" s="14" t="str">
        <f ca="1">VLOOKUP($A8&amp;$B$1,'Export 3 Oct'!$B$6:$K$851,10, FALSE)</f>
        <v>Code of conduct is present in the sustainability report Thomas Howie[https://wikirate.org/Thomas_Howie].....2025-08-11 13:37:31 UTC No links to other policies, including EHS policy, which is mentioned several times Marc McGowan[https://wikirate.org/Marc_McGowan].....2025-08-27 08:12:12 UTC</v>
      </c>
      <c r="I8" s="12"/>
    </row>
    <row r="9" spans="1:9" ht="64">
      <c r="A9" s="13" t="s">
        <v>701</v>
      </c>
      <c r="B9" s="14" t="s">
        <v>1500</v>
      </c>
      <c r="C9" s="14" t="s">
        <v>1518</v>
      </c>
      <c r="D9" s="14" t="str">
        <f ca="1">VLOOKUP($A9&amp;$B$1,'Export 3 Oct'!$B$6:$K$851,5, FALSE)</f>
        <v>No</v>
      </c>
      <c r="E9" s="12">
        <v>0</v>
      </c>
      <c r="F9" s="12"/>
      <c r="G9" s="12" t="str">
        <f ca="1">VLOOKUP($A9&amp;$B$1,'Export 3 Oct'!$B$6:$K$851,6, FALSE)</f>
        <v>https://wikirate.org/~22205867</v>
      </c>
      <c r="H9" s="14"/>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https://wikirate.org/~22205867</v>
      </c>
      <c r="H10" s="14"/>
      <c r="I10" s="12"/>
    </row>
    <row r="11" spans="1:9" ht="112">
      <c r="A11" s="13" t="s">
        <v>412</v>
      </c>
      <c r="B11" s="14" t="s">
        <v>1502</v>
      </c>
      <c r="C11" s="14" t="s">
        <v>1517</v>
      </c>
      <c r="D11" s="14" t="str">
        <f ca="1">VLOOKUP($A11&amp;$B$1,'Export 3 Oct'!$B$6:$K$851,5, FALSE)</f>
        <v>Yes</v>
      </c>
      <c r="E11" s="12">
        <v>10</v>
      </c>
      <c r="F11" s="12"/>
      <c r="G11" s="12" t="str">
        <f ca="1">VLOOKUP($A11&amp;$B$1,'Export 3 Oct'!$B$6:$K$851,6, FALSE)</f>
        <v>https://wikirate.org/~22205867</v>
      </c>
      <c r="H11" s="14" t="str">
        <f ca="1">VLOOKUP($A11&amp;$B$1,'Export 3 Oct'!$B$6:$K$851,10, FALSE)</f>
        <v>From p67 onwards the sustainability figures are placed under a column "2024" Thomas Howie[https://wikirate.org/Thomas_Howie].....2025-08-11 13:49:28 UTC On page 182 the auditor's report clarifies (albeit for the financial disclosure assurance) that their fiscal year runs in parallel with the calendar year. "In addition, we have audited the group management report of ZF Friedrichshafen AG for the fiscal year from January 1 to December 31, 2024." So the reporting is not very explicit but I think we can say it covers the same time frame from the non-financial reporting. Laureen van Breen[https://wikirate.org/Laureen_van_Breen].....2025-09-22 08:23:03 UTC</v>
      </c>
      <c r="I11" s="12"/>
    </row>
    <row r="12" spans="1:9" ht="32">
      <c r="A12" s="13" t="s">
        <v>987</v>
      </c>
      <c r="B12" s="14" t="s">
        <v>1503</v>
      </c>
      <c r="C12" s="14" t="s">
        <v>1517</v>
      </c>
      <c r="D12" s="14" t="str">
        <f ca="1">VLOOKUP($A12&amp;$B$1,'Export 3 Oct'!$B$6:$K$851,5, FALSE)</f>
        <v>Yes</v>
      </c>
      <c r="E12" s="12">
        <v>10</v>
      </c>
      <c r="F12" s="12"/>
      <c r="G12" s="12" t="str">
        <f ca="1">VLOOKUP($A12&amp;$B$1,'Export 3 Oct'!$B$6:$K$851,6, FALSE)</f>
        <v>https://wikirate.org/~22205867</v>
      </c>
      <c r="H12" s="14"/>
      <c r="I12" s="12"/>
    </row>
    <row r="13" spans="1:9" ht="208">
      <c r="A13" s="13" t="s">
        <v>1044</v>
      </c>
      <c r="B13" s="14" t="s">
        <v>1504</v>
      </c>
      <c r="C13" s="14" t="s">
        <v>1520</v>
      </c>
      <c r="D13" s="14" t="str">
        <f ca="1">VLOOKUP($A13&amp;$B$1,'Export 3 Oct'!$B$6:$K$851,5, FALSE)</f>
        <v>CSRD (ESRS), Other</v>
      </c>
      <c r="E13" s="12">
        <v>10</v>
      </c>
      <c r="F13" s="12"/>
      <c r="G13" s="12" t="str">
        <f ca="1">VLOOKUP($A13&amp;$B$1,'Export 3 Oct'!$B$6:$K$851,6, FALSE)</f>
        <v>https://wikirate.org/~22205867</v>
      </c>
      <c r="H13" s="14" t="str">
        <f ca="1">VLOOKUP($A13&amp;$B$1,'Export 3 Oct'!$B$6:$K$851,10, FALSE)</f>
        <v>TCFD p64 Thomas Howie[https://wikirate.org/Thomas_Howie].....2025-08-11 13:53:49 UTC</v>
      </c>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https://wikirate.org/~22205867</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https://wikirate.org/~22205867</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https://wikirate.org/~22205867</v>
      </c>
      <c r="H16" s="14"/>
      <c r="I16" s="12"/>
    </row>
    <row r="17" spans="1:9">
      <c r="A17" s="15" t="s">
        <v>1512</v>
      </c>
      <c r="B17" s="16"/>
      <c r="C17" s="17"/>
      <c r="D17" s="16"/>
      <c r="E17" s="17"/>
      <c r="F17" s="17"/>
      <c r="G17" s="17"/>
      <c r="H17" s="16"/>
      <c r="I17" s="12"/>
    </row>
    <row r="18" spans="1:9" ht="80">
      <c r="A18" s="13" t="s">
        <v>1195</v>
      </c>
      <c r="B18" s="14" t="s">
        <v>1508</v>
      </c>
      <c r="C18" s="12" t="s">
        <v>1523</v>
      </c>
      <c r="D18" s="14" t="str">
        <f ca="1">VLOOKUP($A18&amp;$B$1,'Export 3 Oct'!$B$6:$K$851,5, FALSE)</f>
        <v>Yes</v>
      </c>
      <c r="E18" s="12" t="s">
        <v>1515</v>
      </c>
      <c r="F18" s="12"/>
      <c r="G18" s="12" t="str">
        <f ca="1">VLOOKUP($A18&amp;$B$1,'Export 3 Oct'!$B$6:$K$851,6, FALSE)</f>
        <v>https://wikirate.org/~22205867</v>
      </c>
      <c r="H18" s="14" t="str">
        <f ca="1">VLOOKUP($A18&amp;$B$1,'Export 3 Oct'!$B$6:$K$851,10, FALSE)</f>
        <v>P63 Thomas Howie[https://wikirate.org/Thomas_Howie].....2025-08-11 13:58:49 UTC P63: "The assessment currently used is based on our previously used materiality approach, which already takes into account the impacts on the environment, employees and communities (inside-out) and the business and stakeholder relevance (outside-in)" Marc McGowan[https://wikirate.org/Marc_McGowan].....2025-08-27 08:33:17 UTC</v>
      </c>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https://wikirate.org/~22205867</v>
      </c>
      <c r="H19" s="14"/>
      <c r="I19" s="12"/>
    </row>
    <row r="20" spans="1:9" ht="128">
      <c r="A20" s="13" t="s">
        <v>814</v>
      </c>
      <c r="B20" s="14" t="s">
        <v>1510</v>
      </c>
      <c r="C20" s="14" t="s">
        <v>1524</v>
      </c>
      <c r="D20" s="14" t="str">
        <f ca="1">VLOOKUP($A20&amp;$B$1,'Export 3 Oct'!$B$6:$K$851,5, FALSE)</f>
        <v>No assurance given</v>
      </c>
      <c r="E20" s="12" t="s">
        <v>1515</v>
      </c>
      <c r="F20" s="12"/>
      <c r="G20" s="12" t="str">
        <f ca="1">VLOOKUP($A20&amp;$B$1,'Export 3 Oct'!$B$6:$K$851,6, FALSE)</f>
        <v>https://wikirate.org/~22205867</v>
      </c>
      <c r="H20" s="14" t="str">
        <f ca="1">VLOOKUP($A20&amp;$B$1,'Export 3 Oct'!$B$6:$K$851,10, FALSE)</f>
        <v>P68 - only Limited Assurance given to GHG Emissions Scope 1,2 and 3, see footnote. Other parts of Sustainability Report not given assurance Thomas Howie[https://wikirate.org/Thomas_Howie].....2025-08-11 14:03:39 UTC P185:"We have performed a limited assurance engagement on selected sustainability metrics in the sustainability report" - As assurance given to parts of the sustainability reports and not all, I selected no. Marc McGowan[https://wikirate.org/Marc_McGowan].....2025-08-27 08:40:30 UTC Agree - this is not considered assurance for their non-financial disclosure seeing it only covers a very small part of it. Laureen van Breen[https://wikirate.org/Laureen_van_Breen].....2025-09-22 08:25:55 UTC</v>
      </c>
      <c r="I20" s="12"/>
    </row>
    <row r="21" spans="1:9" ht="96">
      <c r="A21" s="13" t="s">
        <v>13</v>
      </c>
      <c r="B21" s="14" t="s">
        <v>1511</v>
      </c>
      <c r="C21" s="12" t="s">
        <v>1523</v>
      </c>
      <c r="D21" s="14" t="str">
        <f ca="1">VLOOKUP($A21&amp;$B$1,'Export 3 Oct'!$B$6:$K$851,5, FALSE)</f>
        <v>Yes</v>
      </c>
      <c r="E21" s="12" t="s">
        <v>1515</v>
      </c>
      <c r="F21" s="12"/>
      <c r="G21" s="12" t="str">
        <f ca="1">VLOOKUP($A21&amp;$B$1,'Export 3 Oct'!$B$6:$K$851,6, FALSE)</f>
        <v>https://wikirate.org/~22205867</v>
      </c>
      <c r="H21" s="14" t="str">
        <f ca="1">VLOOKUP($A21&amp;$B$1,'Export 3 Oct'!$B$6:$K$851,10, FALSE)</f>
        <v>P94:"An important part of our HRDD approach is the involvement of stakeholders and people potentially affected by human rights violations in the value chain. One of the instruments we use in this context are on-site audits carried out by independent third parties. The standardized audits are intended to create a high level of transparency and comparability among manufacturers and suppliers with regard to sustainable working conditions." Marc McGowan[https://wikirate.org/Marc_McGowan].....2025-08-27 08:43:14 UTC</v>
      </c>
      <c r="I21" s="12"/>
    </row>
    <row r="26" spans="1:9">
      <c r="A26" s="39" t="s">
        <v>1634</v>
      </c>
    </row>
    <row r="27" spans="1:9">
      <c r="A27" s="38" t="s">
        <v>1630</v>
      </c>
      <c r="B27" s="40">
        <f>AVERAGE($E$5,$E$6,$E$7)</f>
        <v>6.333333333333333</v>
      </c>
    </row>
    <row r="28" spans="1:9">
      <c r="A28" s="38" t="s">
        <v>1631</v>
      </c>
      <c r="B28" s="40">
        <f>AVERAGE($E$8,$E$9)</f>
        <v>0</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C0AB-95CC-3443-8B90-6065E699DB07}">
  <sheetPr codeName="Sheet54"/>
  <dimension ref="A1:I21"/>
  <sheetViews>
    <sheetView workbookViewId="0">
      <selection activeCell="B2" sqref="B2"/>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
        <v>152</v>
      </c>
    </row>
    <row r="2" spans="1:9" ht="23">
      <c r="A2" s="8" t="s">
        <v>1616</v>
      </c>
      <c r="B2" s="18">
        <f>SUM(E5:E16)/12</f>
        <v>4.083333333333333</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
        <v>96</v>
      </c>
      <c r="E5" s="12">
        <v>5</v>
      </c>
      <c r="F5" s="12"/>
      <c r="G5" s="12" t="s">
        <v>153</v>
      </c>
      <c r="H5" s="14"/>
      <c r="I5" s="12"/>
    </row>
    <row r="6" spans="1:9" ht="112">
      <c r="A6" s="13" t="s">
        <v>242</v>
      </c>
      <c r="B6" s="14" t="s">
        <v>1497</v>
      </c>
      <c r="C6" s="14" t="s">
        <v>1525</v>
      </c>
      <c r="D6" s="14" t="s">
        <v>246</v>
      </c>
      <c r="E6" s="12">
        <v>4</v>
      </c>
      <c r="F6" s="12"/>
      <c r="G6" s="12" t="s">
        <v>283</v>
      </c>
      <c r="H6" s="14"/>
      <c r="I6" s="12"/>
    </row>
    <row r="7" spans="1:9" ht="32">
      <c r="A7" s="13" t="s">
        <v>901</v>
      </c>
      <c r="B7" s="14" t="s">
        <v>1498</v>
      </c>
      <c r="C7" s="14" t="s">
        <v>1517</v>
      </c>
      <c r="D7" s="14" t="s">
        <v>15</v>
      </c>
      <c r="E7" s="12">
        <v>10</v>
      </c>
      <c r="F7" s="12"/>
      <c r="G7" s="12" t="s">
        <v>153</v>
      </c>
      <c r="H7" s="14"/>
      <c r="I7" s="12"/>
    </row>
    <row r="8" spans="1:9" ht="64">
      <c r="A8" s="13" t="s">
        <v>629</v>
      </c>
      <c r="B8" s="14" t="s">
        <v>1499</v>
      </c>
      <c r="C8" s="14" t="s">
        <v>1517</v>
      </c>
      <c r="D8" s="14" t="s">
        <v>21</v>
      </c>
      <c r="E8" s="12">
        <v>0</v>
      </c>
      <c r="F8" s="12"/>
      <c r="G8" s="12" t="s">
        <v>283</v>
      </c>
      <c r="H8" s="14" t="s">
        <v>659</v>
      </c>
      <c r="I8" s="12"/>
    </row>
    <row r="9" spans="1:9" ht="64">
      <c r="A9" s="13" t="s">
        <v>701</v>
      </c>
      <c r="B9" s="14" t="s">
        <v>1500</v>
      </c>
      <c r="C9" s="14" t="s">
        <v>1518</v>
      </c>
      <c r="D9" s="14" t="s">
        <v>21</v>
      </c>
      <c r="E9" s="12">
        <v>0</v>
      </c>
      <c r="F9" s="12"/>
      <c r="G9" s="12" t="s">
        <v>283</v>
      </c>
      <c r="H9" s="14"/>
      <c r="I9" s="12"/>
    </row>
    <row r="10" spans="1:9" ht="192">
      <c r="A10" s="13" t="s">
        <v>328</v>
      </c>
      <c r="B10" s="14" t="s">
        <v>1501</v>
      </c>
      <c r="C10" s="14" t="s">
        <v>1519</v>
      </c>
      <c r="D10" s="14" t="s">
        <v>21</v>
      </c>
      <c r="E10" s="12">
        <v>0</v>
      </c>
      <c r="F10" s="12"/>
      <c r="G10" s="12" t="s">
        <v>283</v>
      </c>
      <c r="H10" s="14"/>
      <c r="I10" s="12"/>
    </row>
    <row r="11" spans="1:9" ht="112">
      <c r="A11" s="13" t="s">
        <v>412</v>
      </c>
      <c r="B11" s="14" t="s">
        <v>1502</v>
      </c>
      <c r="C11" s="14" t="s">
        <v>1517</v>
      </c>
      <c r="D11" s="14" t="s">
        <v>15</v>
      </c>
      <c r="E11" s="12">
        <v>10</v>
      </c>
      <c r="F11" s="12"/>
      <c r="G11" s="12" t="s">
        <v>283</v>
      </c>
      <c r="H11" s="14" t="s">
        <v>1549</v>
      </c>
      <c r="I11" s="12"/>
    </row>
    <row r="12" spans="1:9" ht="32">
      <c r="A12" s="13" t="s">
        <v>987</v>
      </c>
      <c r="B12" s="14" t="s">
        <v>1503</v>
      </c>
      <c r="C12" s="14" t="s">
        <v>1517</v>
      </c>
      <c r="D12" s="14" t="s">
        <v>15</v>
      </c>
      <c r="E12" s="12">
        <v>10</v>
      </c>
      <c r="F12" s="12"/>
      <c r="G12" s="12" t="s">
        <v>283</v>
      </c>
      <c r="H12" s="14"/>
      <c r="I12" s="12"/>
    </row>
    <row r="13" spans="1:9" ht="208">
      <c r="A13" s="13" t="s">
        <v>1044</v>
      </c>
      <c r="B13" s="14" t="s">
        <v>1504</v>
      </c>
      <c r="C13" s="14" t="s">
        <v>1520</v>
      </c>
      <c r="D13" s="14" t="s">
        <v>1077</v>
      </c>
      <c r="E13" s="12">
        <v>10</v>
      </c>
      <c r="F13" s="12"/>
      <c r="G13" s="12" t="s">
        <v>283</v>
      </c>
      <c r="H13" s="14" t="s">
        <v>1078</v>
      </c>
      <c r="I13" s="12"/>
    </row>
    <row r="14" spans="1:9" ht="128">
      <c r="A14" s="13" t="s">
        <v>495</v>
      </c>
      <c r="B14" s="14" t="s">
        <v>1505</v>
      </c>
      <c r="C14" s="14" t="s">
        <v>1521</v>
      </c>
      <c r="D14" s="14" t="s">
        <v>21</v>
      </c>
      <c r="E14" s="12">
        <v>0</v>
      </c>
      <c r="F14" s="12"/>
      <c r="G14" s="12" t="s">
        <v>283</v>
      </c>
      <c r="H14" s="14"/>
      <c r="I14" s="12"/>
    </row>
    <row r="15" spans="1:9" ht="32">
      <c r="A15" s="13" t="s">
        <v>577</v>
      </c>
      <c r="B15" s="14" t="s">
        <v>1506</v>
      </c>
      <c r="C15" s="14" t="s">
        <v>1517</v>
      </c>
      <c r="D15" s="14" t="s">
        <v>21</v>
      </c>
      <c r="E15" s="12">
        <v>0</v>
      </c>
      <c r="F15" s="12"/>
      <c r="G15" s="12" t="s">
        <v>283</v>
      </c>
      <c r="H15" s="14"/>
      <c r="I15" s="12"/>
    </row>
    <row r="16" spans="1:9" ht="48">
      <c r="A16" s="13" t="s">
        <v>1143</v>
      </c>
      <c r="B16" s="14" t="s">
        <v>1507</v>
      </c>
      <c r="C16" s="14" t="s">
        <v>1522</v>
      </c>
      <c r="D16" s="14" t="s">
        <v>1144</v>
      </c>
      <c r="E16" s="12">
        <v>0</v>
      </c>
      <c r="F16" s="12"/>
      <c r="G16" s="12" t="s">
        <v>283</v>
      </c>
      <c r="H16" s="14"/>
      <c r="I16" s="12"/>
    </row>
    <row r="17" spans="1:9">
      <c r="A17" s="15" t="s">
        <v>1512</v>
      </c>
      <c r="B17" s="16"/>
      <c r="C17" s="17"/>
      <c r="D17" s="16"/>
      <c r="E17" s="17"/>
      <c r="F17" s="17"/>
      <c r="G17" s="17"/>
      <c r="H17" s="16"/>
      <c r="I17" s="12"/>
    </row>
    <row r="18" spans="1:9" ht="80">
      <c r="A18" s="13" t="s">
        <v>1195</v>
      </c>
      <c r="B18" s="14" t="s">
        <v>1508</v>
      </c>
      <c r="C18" s="12" t="s">
        <v>1523</v>
      </c>
      <c r="D18" s="14" t="s">
        <v>15</v>
      </c>
      <c r="E18" s="12" t="s">
        <v>1515</v>
      </c>
      <c r="F18" s="12"/>
      <c r="G18" s="12" t="s">
        <v>283</v>
      </c>
      <c r="H18" s="14" t="s">
        <v>1218</v>
      </c>
      <c r="I18" s="12"/>
    </row>
    <row r="19" spans="1:9" ht="32">
      <c r="A19" s="13" t="s">
        <v>1280</v>
      </c>
      <c r="B19" s="14" t="s">
        <v>1509</v>
      </c>
      <c r="C19" s="12" t="s">
        <v>1523</v>
      </c>
      <c r="D19" s="14" t="s">
        <v>21</v>
      </c>
      <c r="E19" s="12" t="s">
        <v>1515</v>
      </c>
      <c r="F19" s="12"/>
      <c r="G19" s="12" t="s">
        <v>283</v>
      </c>
      <c r="H19" s="14"/>
      <c r="I19" s="12"/>
    </row>
    <row r="20" spans="1:9" ht="128">
      <c r="A20" s="13" t="s">
        <v>814</v>
      </c>
      <c r="B20" s="14" t="s">
        <v>1510</v>
      </c>
      <c r="C20" s="14" t="s">
        <v>1524</v>
      </c>
      <c r="D20" s="14" t="s">
        <v>838</v>
      </c>
      <c r="E20" s="12" t="s">
        <v>1515</v>
      </c>
      <c r="F20" s="12"/>
      <c r="G20" s="12" t="s">
        <v>283</v>
      </c>
      <c r="H20" s="14" t="s">
        <v>1582</v>
      </c>
      <c r="I20" s="12"/>
    </row>
    <row r="21" spans="1:9" ht="96">
      <c r="A21" s="13" t="s">
        <v>13</v>
      </c>
      <c r="B21" s="14" t="s">
        <v>1511</v>
      </c>
      <c r="C21" s="12" t="s">
        <v>1523</v>
      </c>
      <c r="D21" s="14" t="s">
        <v>15</v>
      </c>
      <c r="E21" s="12" t="s">
        <v>1515</v>
      </c>
      <c r="F21" s="12"/>
      <c r="G21" s="12" t="s">
        <v>283</v>
      </c>
      <c r="H21" s="14" t="s">
        <v>1379</v>
      </c>
      <c r="I21" s="12"/>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CAF65-C905-0343-BE49-449D46FBA2CD}">
  <dimension ref="A1:V79"/>
  <sheetViews>
    <sheetView topLeftCell="D36" workbookViewId="0">
      <selection activeCell="A77" sqref="A77"/>
    </sheetView>
  </sheetViews>
  <sheetFormatPr baseColWidth="10" defaultRowHeight="16"/>
  <cols>
    <col min="1" max="1" width="32.33203125" bestFit="1" customWidth="1"/>
    <col min="2" max="2" width="12.1640625" customWidth="1"/>
    <col min="3" max="3" width="10" customWidth="1"/>
    <col min="4" max="4" width="13.83203125" style="42" customWidth="1"/>
    <col min="5" max="5" width="22.6640625" customWidth="1"/>
    <col min="6" max="6" width="12.1640625" customWidth="1"/>
    <col min="7" max="7" width="9" customWidth="1"/>
    <col min="8" max="8" width="35.83203125" customWidth="1"/>
    <col min="9" max="9" width="28.5" customWidth="1"/>
    <col min="10" max="10" width="21.83203125" customWidth="1"/>
    <col min="11" max="11" width="5.6640625" customWidth="1"/>
    <col min="12" max="12" width="14.83203125" customWidth="1"/>
    <col min="13" max="13" width="29.5" customWidth="1"/>
    <col min="14" max="14" width="11.83203125" customWidth="1"/>
    <col min="15" max="15" width="29" customWidth="1"/>
    <col min="16" max="16" width="14.6640625" bestFit="1" customWidth="1"/>
    <col min="17" max="17" width="14.5" bestFit="1" customWidth="1"/>
    <col min="18" max="18" width="48.1640625" customWidth="1"/>
    <col min="19" max="19" width="64.83203125" bestFit="1" customWidth="1"/>
    <col min="20" max="20" width="3.6640625" customWidth="1"/>
    <col min="21" max="21" width="18" bestFit="1" customWidth="1"/>
    <col min="22" max="22" width="15.33203125" bestFit="1" customWidth="1"/>
  </cols>
  <sheetData>
    <row r="1" spans="1:17">
      <c r="A1" s="2" t="s">
        <v>1661</v>
      </c>
      <c r="B1" s="69">
        <v>50</v>
      </c>
      <c r="C1" s="42"/>
    </row>
    <row r="2" spans="1:17" s="49" customFormat="1" ht="34" customHeight="1">
      <c r="A2" s="78" t="s">
        <v>1660</v>
      </c>
      <c r="B2" s="79"/>
      <c r="C2" s="80"/>
      <c r="D2" s="85" t="s">
        <v>1622</v>
      </c>
      <c r="E2" s="92" t="s">
        <v>1671</v>
      </c>
      <c r="F2" s="85" t="s">
        <v>1672</v>
      </c>
      <c r="G2" s="92" t="s">
        <v>1626</v>
      </c>
      <c r="H2" s="84" t="s">
        <v>1627</v>
      </c>
      <c r="I2" s="50"/>
      <c r="J2" s="96" t="s">
        <v>1651</v>
      </c>
      <c r="K2" s="101" t="s">
        <v>1683</v>
      </c>
      <c r="L2" s="102"/>
      <c r="M2" s="85" t="s">
        <v>1622</v>
      </c>
      <c r="N2" s="92" t="s">
        <v>1671</v>
      </c>
      <c r="O2" s="85" t="s">
        <v>1672</v>
      </c>
      <c r="P2" s="92" t="s">
        <v>1626</v>
      </c>
      <c r="Q2" s="84" t="s">
        <v>1627</v>
      </c>
    </row>
    <row r="3" spans="1:17">
      <c r="A3" s="38" t="s">
        <v>1642</v>
      </c>
      <c r="B3" s="71">
        <f ca="1">COUNTIF(C30:C79,"Yes")</f>
        <v>39</v>
      </c>
      <c r="C3" s="75">
        <f ca="1">B3/B1</f>
        <v>0.78</v>
      </c>
      <c r="D3" s="86">
        <f ca="1">COUNTIFS($C$30:$C$79,"Yes",$B$30:$B$79,"Automotive")</f>
        <v>9</v>
      </c>
      <c r="E3" s="71">
        <f ca="1">COUNTIFS($C$30:$C$79,"Yes",$B$30:$B$79,"Mechanical engineering")</f>
        <v>7</v>
      </c>
      <c r="F3" s="86">
        <f ca="1">COUNTIFS($C$30:$C$79,"Yes",$B$30:$B$79,"Chemical")</f>
        <v>9</v>
      </c>
      <c r="G3" s="71">
        <f ca="1">COUNTIFS($C$30:$C$79,"Yes",$B$30:$B$79,"Electrical")</f>
        <v>7</v>
      </c>
      <c r="H3" s="81">
        <f ca="1">COUNTIFS($C$30:$C$79,"Yes",$B$30:$B$79,"Military and defense")</f>
        <v>7</v>
      </c>
      <c r="I3" s="88"/>
      <c r="J3" s="24" t="s">
        <v>1461</v>
      </c>
      <c r="K3">
        <f ca="1">COUNTIF($R$30:$R$79, "*GRI Standards*")</f>
        <v>15</v>
      </c>
      <c r="L3" s="97">
        <f ca="1">K3/$B$1</f>
        <v>0.3</v>
      </c>
      <c r="M3">
        <f ca="1">COUNTIFS($R$30:$R$79, "*GRI Standards*",$B$30:$B$79,"Automotive")</f>
        <v>3</v>
      </c>
      <c r="N3">
        <f ca="1">COUNTIFS($R$30:$R$79, "*GRI Standards*",$B$30:$B$79,"Mechanical engineering")</f>
        <v>5</v>
      </c>
      <c r="O3">
        <f ca="1">COUNTIFS($R$30:$R$79, "*GRI Standards*",$B$30:$B$79,"Chemical")</f>
        <v>4</v>
      </c>
      <c r="P3">
        <f ca="1">COUNTIFS($R$30:$R$79, "*GRI Standards*",$B$30:$B$79,"Electrical")</f>
        <v>2</v>
      </c>
      <c r="Q3">
        <f ca="1">COUNTIFS($R$30:$R$79, "*GRI Standards*",$B$30:$B$79,"Military and defense")</f>
        <v>1</v>
      </c>
    </row>
    <row r="4" spans="1:17">
      <c r="A4" s="38" t="s">
        <v>1639</v>
      </c>
      <c r="B4" s="72">
        <f ca="1">COUNTIF(D30:D79,"Yes")</f>
        <v>11</v>
      </c>
      <c r="C4" s="75">
        <f ca="1">B4/B1</f>
        <v>0.22</v>
      </c>
      <c r="D4" s="86">
        <f ca="1">COUNTIFS($D$30:$D$79,"Yes",$B$30:$B$79, "Automotive")</f>
        <v>3</v>
      </c>
      <c r="E4" s="71">
        <f ca="1">COUNTIFS($D$30:$D$79,"Yes",$B$30:$B$79, "Mechanical engineering")</f>
        <v>3</v>
      </c>
      <c r="F4" s="86">
        <f ca="1">COUNTIFS($D$30:$D$79,"Yes",$B$30:$B$79, "Chemical")</f>
        <v>2</v>
      </c>
      <c r="G4" s="71">
        <f ca="1">COUNTIFS($D$30:$D$79,"Yes",$B$30:$B$79, "Electrical")</f>
        <v>1</v>
      </c>
      <c r="H4" s="81">
        <f ca="1">COUNTIFS($D$30:$D$79,"Yes",$B$30:$B$79, "Military and defense")</f>
        <v>2</v>
      </c>
      <c r="I4" s="88"/>
      <c r="J4" s="24" t="s">
        <v>1676</v>
      </c>
      <c r="K4">
        <f ca="1">COUNTIF($R$30:$R$79, "*IFRS*")</f>
        <v>3</v>
      </c>
      <c r="L4" s="97">
        <f t="shared" ref="L4:L12" ca="1" si="0">K4/$B$1</f>
        <v>0.06</v>
      </c>
      <c r="M4">
        <f ca="1">COUNTIFS($R$30:$R$79, "*IFRS*",$B$30:$B$79,"Automotive")</f>
        <v>0</v>
      </c>
      <c r="N4">
        <f ca="1">COUNTIFS($R$30:$R$79, "*IFRS*",$B$30:$B$79,"Mechanical engineering")</f>
        <v>1</v>
      </c>
      <c r="O4">
        <f ca="1">COUNTIFS($R$30:$R$79, "*IFRS*",$B$30:$B$79,"Chemical")</f>
        <v>1</v>
      </c>
      <c r="P4">
        <f ca="1">COUNTIFS($R$30:$R$79, "*IFRS*",$B$30:$B$79,"Electrical")</f>
        <v>1</v>
      </c>
      <c r="Q4">
        <f ca="1">COUNTIFS($R$30:$R$79, "*IFRS*",$B$30:$B$79,"Military and defense")</f>
        <v>0</v>
      </c>
    </row>
    <row r="5" spans="1:17">
      <c r="A5" s="38" t="s">
        <v>1641</v>
      </c>
      <c r="B5" s="72">
        <f ca="1">50-(COUNTIF(E30:E79,"No assurance given"))</f>
        <v>36</v>
      </c>
      <c r="C5" s="75">
        <f ca="1">B5/B1</f>
        <v>0.72</v>
      </c>
      <c r="D5" s="87">
        <f ca="1">10-(COUNTIFS($E$30:$E$79,"No assurance given",$B$30:$B$79, "Automotive"))</f>
        <v>9</v>
      </c>
      <c r="E5" s="74">
        <f ca="1">10-(COUNTIFS($E$30:$E$79,"No assurance given",$B$30:$B$79, "Mechanical engineering"))</f>
        <v>8</v>
      </c>
      <c r="F5" s="87">
        <f ca="1">10-(COUNTIFS($E$30:$E$79,"No assurance given",$B$30:$B$79, "Chemical"))</f>
        <v>8</v>
      </c>
      <c r="G5" s="74">
        <f ca="1">10-(COUNTIFS($E$30:$E$79,"No assurance given",$B$30:$B$79, "Electrical"))</f>
        <v>6</v>
      </c>
      <c r="H5" s="83">
        <f ca="1">10-(COUNTIFS($E$30:$E$79,"No assurance given",$B$30:$B$79, "Military and defense"))</f>
        <v>5</v>
      </c>
      <c r="I5" s="88"/>
      <c r="J5" s="24" t="s">
        <v>1677</v>
      </c>
      <c r="K5">
        <f ca="1">COUNTIF($R$30:$R$79, "*SASB*")</f>
        <v>9</v>
      </c>
      <c r="L5" s="97">
        <f t="shared" ca="1" si="0"/>
        <v>0.18</v>
      </c>
      <c r="M5">
        <f ca="1">COUNTIFS($R$30:$R$79, "*SASB*",$B$30:$B$79,"Automotive")</f>
        <v>1</v>
      </c>
      <c r="N5">
        <f ca="1">COUNTIFS($R$30:$R$79, "*SASB*",$B$30:$B$79,"Mechanical engineering")</f>
        <v>3</v>
      </c>
      <c r="O5">
        <f ca="1">COUNTIFS($R$30:$R$79, "*SASB*",$B$30:$B$79,"Chemical")</f>
        <v>2</v>
      </c>
      <c r="P5">
        <f ca="1">COUNTIFS($R$30:$R$79, "*SASB*",$B$30:$B$79,"Electrical")</f>
        <v>1</v>
      </c>
      <c r="Q5">
        <f ca="1">COUNTIFS($R$30:$R$79, "*SASB*",$B$30:$B$79,"Military and defense")</f>
        <v>2</v>
      </c>
    </row>
    <row r="6" spans="1:17">
      <c r="A6" s="38" t="s">
        <v>1640</v>
      </c>
      <c r="B6" s="72">
        <f ca="1">COUNTIF(F30:F79,"Yes")</f>
        <v>40</v>
      </c>
      <c r="C6" s="75">
        <f ca="1">B6/B1</f>
        <v>0.8</v>
      </c>
      <c r="D6" s="86">
        <f ca="1">COUNTIFS($F$30:$F$79,"Yes", $B$30:$B$79, "Automotive")</f>
        <v>10</v>
      </c>
      <c r="E6" s="71">
        <f ca="1">COUNTIFS($F$30:$F$79,"Yes", $B$30:$B$79, "Mechanical engineering")</f>
        <v>8</v>
      </c>
      <c r="F6" s="86">
        <f ca="1">COUNTIFS($F$30:$F$79,"Yes", $B$30:$B$79, "Chemical")</f>
        <v>9</v>
      </c>
      <c r="G6" s="71">
        <f ca="1">COUNTIFS($F$30:$F$79,"Yes", $B$30:$B$79, "Electrical")</f>
        <v>6</v>
      </c>
      <c r="H6" s="81">
        <f ca="1">COUNTIFS($F$30:$F$79,"Yes", $B$30:$B$79, "Military and defense")</f>
        <v>7</v>
      </c>
      <c r="I6" s="88"/>
      <c r="J6" s="24" t="s">
        <v>1678</v>
      </c>
      <c r="K6">
        <f ca="1">COUNTIF($R$30:$R$79, "*ESRS*")</f>
        <v>36</v>
      </c>
      <c r="L6" s="97">
        <f t="shared" ca="1" si="0"/>
        <v>0.72</v>
      </c>
      <c r="M6">
        <f ca="1">COUNTIFS($R$30:$R$79, "*ESRS*",$B$30:$B$79,"Automotive")</f>
        <v>9</v>
      </c>
      <c r="N6">
        <f ca="1">COUNTIFS($R$30:$R$79, "*ESRS*",$B$30:$B$79,"Mechanical engineering")</f>
        <v>5</v>
      </c>
      <c r="O6">
        <f ca="1">COUNTIFS($R$30:$R$79, "*ESRS*",$B$30:$B$79,"Chemical")</f>
        <v>9</v>
      </c>
      <c r="P6">
        <f ca="1">COUNTIFS($R$30:$R$79, "*ESRS*",$B$30:$B$79,"Electrical")</f>
        <v>7</v>
      </c>
      <c r="Q6">
        <f ca="1">COUNTIFS($R$30:$R$79, "*ESRS*",$B$30:$B$79,"Military and defense")</f>
        <v>6</v>
      </c>
    </row>
    <row r="7" spans="1:17">
      <c r="A7" s="66" t="s">
        <v>1630</v>
      </c>
      <c r="B7" s="73"/>
      <c r="C7" s="76"/>
      <c r="D7" s="90"/>
      <c r="E7" s="93"/>
      <c r="F7" s="90"/>
      <c r="G7" s="32"/>
      <c r="H7" s="82"/>
      <c r="I7" s="88"/>
      <c r="J7" s="24" t="s">
        <v>1679</v>
      </c>
      <c r="K7">
        <f ca="1">COUNTIF($R$30:$R$79, "*CDP*")</f>
        <v>9</v>
      </c>
      <c r="L7" s="97">
        <f t="shared" ca="1" si="0"/>
        <v>0.18</v>
      </c>
      <c r="M7">
        <f ca="1">COUNTIFS($R$30:$R$79, "*CDP*",$B$30:$B$79,"Automotive")</f>
        <v>2</v>
      </c>
      <c r="N7">
        <f ca="1">COUNTIFS($R$30:$R$79, "*CDP*",$B$30:$B$79,"Mechanical engineering")</f>
        <v>2</v>
      </c>
      <c r="O7">
        <f ca="1">COUNTIFS($R$30:$R$79, "*CDP*",$B$30:$B$79,"Chemical")</f>
        <v>4</v>
      </c>
      <c r="P7">
        <f ca="1">COUNTIFS($R$30:$R$79, "*CDP*",$B$30:$B$79,"Electrical")</f>
        <v>0</v>
      </c>
      <c r="Q7">
        <f ca="1">COUNTIFS($R$30:$R$79, "*CDP*",$B$30:$B$79,"Military and defense")</f>
        <v>1</v>
      </c>
    </row>
    <row r="8" spans="1:17">
      <c r="A8" s="38" t="s">
        <v>1662</v>
      </c>
      <c r="B8" s="72">
        <f ca="1">COUNTIF($H$30:$H$79,"Own website, Central database")</f>
        <v>23</v>
      </c>
      <c r="C8" s="75">
        <f ca="1">B8/B1</f>
        <v>0.46</v>
      </c>
      <c r="D8" s="91">
        <f ca="1">COUNTIFS($H$30:$H$79,"Own website, Central database",$B$30:$B$79,"Automotive")</f>
        <v>6</v>
      </c>
      <c r="E8" s="72">
        <f ca="1">COUNTIFS($H$30:$H$79,"Own website, Central database",$B$30:$B$79,"Mechanical engineering")</f>
        <v>6</v>
      </c>
      <c r="F8" s="91">
        <f ca="1">COUNTIFS($H$30:$H$79,"Own website, Central database",$B$30:$B$79,"Chemical")</f>
        <v>6</v>
      </c>
      <c r="G8" s="72">
        <f ca="1">COUNTIFS($H$30:$H$79,"Own website, Central database",$B$30:$B$79,"Electrical")</f>
        <v>2</v>
      </c>
      <c r="H8" s="89">
        <f ca="1">COUNTIFS($H$30:$H$79,"Own website, Central database",$B$30:$B$79,"Military and defense")</f>
        <v>3</v>
      </c>
      <c r="I8" s="88"/>
      <c r="J8" s="24" t="s">
        <v>1680</v>
      </c>
      <c r="K8">
        <f ca="1">COUNTIF($R$30:$R$79, "*CDSB*")</f>
        <v>0</v>
      </c>
      <c r="L8" s="97">
        <f t="shared" ca="1" si="0"/>
        <v>0</v>
      </c>
      <c r="M8">
        <f ca="1">COUNTIFS($R$30:$R$79, "*CDSB*",$B$30:$B$79,"Automotive")</f>
        <v>0</v>
      </c>
      <c r="N8">
        <f ca="1">COUNTIFS($R$30:$R$79, "*CDSB*",$B$30:$B$79,"Mechanical engineering")</f>
        <v>0</v>
      </c>
      <c r="O8">
        <f ca="1">COUNTIFS($R$30:$R$79, "*CDSB*",$B$30:$B$79,"Chemical")</f>
        <v>0</v>
      </c>
      <c r="P8">
        <f ca="1">COUNTIFS($R$30:$R$79, "*CDSB*",$B$30:$B$79,"Electrical")</f>
        <v>0</v>
      </c>
      <c r="Q8">
        <f ca="1">COUNTIFS($R$30:$R$79, "*CDSB*",$B$30:$B$79,"Military and defense")</f>
        <v>0</v>
      </c>
    </row>
    <row r="9" spans="1:17">
      <c r="A9" s="38" t="s">
        <v>1666</v>
      </c>
      <c r="B9" s="72">
        <v>3</v>
      </c>
      <c r="C9" s="75">
        <f>B9/B1</f>
        <v>0.06</v>
      </c>
      <c r="D9" s="91">
        <v>0</v>
      </c>
      <c r="E9" s="72">
        <v>1</v>
      </c>
      <c r="F9" s="91">
        <v>1</v>
      </c>
      <c r="G9" s="72">
        <v>1</v>
      </c>
      <c r="H9" s="89">
        <v>0</v>
      </c>
      <c r="I9" s="88"/>
      <c r="J9" s="24" t="s">
        <v>1063</v>
      </c>
      <c r="K9">
        <f ca="1">COUNTIF($R$30:$R$79, "*Greenhouse*")</f>
        <v>32</v>
      </c>
      <c r="L9" s="97">
        <f t="shared" ca="1" si="0"/>
        <v>0.64</v>
      </c>
      <c r="M9">
        <f ca="1">COUNTIFS($R$30:$R$79, "*Greenhouse*",$B$30:$B$79,"Automotive")</f>
        <v>7</v>
      </c>
      <c r="N9">
        <f ca="1">COUNTIFS($R$30:$R$79, "*Greenhouse*",$B$30:$B$79,"Mechanical engineering")</f>
        <v>8</v>
      </c>
      <c r="O9">
        <f ca="1">COUNTIFS($R$30:$R$79, "*Greenhouse*",$B$30:$B$79,"Chemical")</f>
        <v>5</v>
      </c>
      <c r="P9">
        <f ca="1">COUNTIFS($R$30:$R$79, "*Greenhouse*",$B$30:$B$79,"Electrical")</f>
        <v>7</v>
      </c>
      <c r="Q9">
        <f ca="1">COUNTIFS($R$30:$R$79, "*Greenhouse*",$B$30:$B$79,"Military and defense")</f>
        <v>5</v>
      </c>
    </row>
    <row r="10" spans="1:17">
      <c r="A10" s="38" t="s">
        <v>1684</v>
      </c>
      <c r="B10" s="72">
        <v>0</v>
      </c>
      <c r="C10" s="75">
        <f>B10/B1</f>
        <v>0</v>
      </c>
      <c r="D10" s="91">
        <v>0</v>
      </c>
      <c r="E10" s="72">
        <v>0</v>
      </c>
      <c r="F10" s="91">
        <v>0</v>
      </c>
      <c r="G10" s="72">
        <v>0</v>
      </c>
      <c r="H10" s="89">
        <v>0</v>
      </c>
      <c r="I10" s="88"/>
      <c r="J10" s="24" t="s">
        <v>1681</v>
      </c>
      <c r="K10">
        <f ca="1">COUNTIF($R$30:$R$79, "*National*")</f>
        <v>5</v>
      </c>
      <c r="L10" s="97">
        <f t="shared" ca="1" si="0"/>
        <v>0.1</v>
      </c>
      <c r="M10">
        <f ca="1">COUNTIFS($R$30:$R$79, "*National*",$B$30:$B$79,"Automotive")</f>
        <v>2</v>
      </c>
      <c r="N10">
        <f ca="1">COUNTIFS($R$30:$R$79, "*National*",$B$30:$B$79,"Mechanical engineering")</f>
        <v>0</v>
      </c>
      <c r="O10">
        <f ca="1">COUNTIFS($R$30:$R$79, "*National*",$B$30:$B$79,"Chemical")</f>
        <v>0</v>
      </c>
      <c r="P10">
        <f ca="1">COUNTIFS($R$30:$R$79, "*National*",$B$30:$B$79,"Electrical")</f>
        <v>2</v>
      </c>
      <c r="Q10">
        <f ca="1">COUNTIFS($R$30:$R$79, "*National*",$B$30:$B$79,"Military and defense")</f>
        <v>1</v>
      </c>
    </row>
    <row r="11" spans="1:17">
      <c r="A11" s="38" t="s">
        <v>1648</v>
      </c>
      <c r="B11" s="72">
        <f ca="1">COUNTIF($J$30:$J$79,"Yes")</f>
        <v>38</v>
      </c>
      <c r="C11" s="75">
        <f ca="1">B11/B1</f>
        <v>0.76</v>
      </c>
      <c r="D11" s="91">
        <f ca="1">COUNTIFS($J$30:$J$79,"Yes",$B$30:$B$79,"Automotive")</f>
        <v>10</v>
      </c>
      <c r="E11" s="72">
        <f ca="1">COUNTIFS($J$30:$J$79,"Yes",$B$30:$B$79,"Mechanical engineering")</f>
        <v>9</v>
      </c>
      <c r="F11" s="91">
        <f ca="1">COUNTIFS($J$30:$J$79,"Yes",$B$30:$B$79,"Chemical")</f>
        <v>8</v>
      </c>
      <c r="G11" s="72">
        <f ca="1">COUNTIFS($J$30:$J$79,"Yes",$B$30:$B$79,"Electrical")</f>
        <v>7</v>
      </c>
      <c r="H11" s="89">
        <f ca="1">COUNTIFS($J$30:$J$79,"Yes",$B$30:$B$79,"Military and defense")</f>
        <v>4</v>
      </c>
      <c r="I11" s="88"/>
      <c r="J11" s="24" t="s">
        <v>1682</v>
      </c>
      <c r="K11">
        <f ca="1">COUNTIF($R$30:$R$79, "*Other*")</f>
        <v>12</v>
      </c>
      <c r="L11" s="97">
        <f t="shared" ca="1" si="0"/>
        <v>0.24</v>
      </c>
      <c r="M11">
        <f ca="1">COUNTIFS($R$30:$R$79, "*Other*",$B$30:$B$79,"Automotive")</f>
        <v>3</v>
      </c>
      <c r="N11">
        <f ca="1">COUNTIFS($R$30:$R$79, "*Other*",$B$30:$B$79,"Mechanical engineering")</f>
        <v>3</v>
      </c>
      <c r="O11">
        <f ca="1">COUNTIFS($R$30:$R$79, "*Other*",$B$30:$B$79,"Chemical")</f>
        <v>4</v>
      </c>
      <c r="P11">
        <f ca="1">COUNTIFS($R$30:$R$79, "*Other*",$B$30:$B$79,"Electrical")</f>
        <v>1</v>
      </c>
      <c r="Q11">
        <f ca="1">COUNTIFS($R$30:$R$79, "*Other*",$B$30:$B$79,"Military and defense")</f>
        <v>1</v>
      </c>
    </row>
    <row r="12" spans="1:17">
      <c r="A12" s="66" t="s">
        <v>1631</v>
      </c>
      <c r="B12" s="70"/>
      <c r="C12" s="70"/>
      <c r="D12" s="90"/>
      <c r="E12" s="93"/>
      <c r="F12" s="90"/>
      <c r="G12" s="32"/>
      <c r="H12" s="82"/>
      <c r="I12" s="88"/>
      <c r="J12" s="24" t="s">
        <v>1104</v>
      </c>
      <c r="K12">
        <f ca="1">COUNTIF($R$30:$R$79, "None")</f>
        <v>6</v>
      </c>
      <c r="L12" s="97">
        <f t="shared" ca="1" si="0"/>
        <v>0.12</v>
      </c>
      <c r="M12">
        <f ca="1">COUNTIFS($R$30:$R$79, "None",$B$30:$B$79,"Automotive")</f>
        <v>0</v>
      </c>
      <c r="N12">
        <f ca="1">COUNTIFS($R$30:$R$79, "None",$B$30:$B$79,"Mechanical engineering")</f>
        <v>0</v>
      </c>
      <c r="O12">
        <f ca="1">COUNTIFS($R$30:$R$79, "None",$B$30:$B$79,"Chemical")</f>
        <v>1</v>
      </c>
      <c r="P12">
        <f ca="1">COUNTIFS($R$30:$R$79, "None",$B$30:$B$79,"Electrical")</f>
        <v>2</v>
      </c>
      <c r="Q12">
        <f ca="1">COUNTIFS($R$30:$R$79, "None",$B$30:$B$79,"Military and defense")</f>
        <v>3</v>
      </c>
    </row>
    <row r="13" spans="1:17">
      <c r="A13" s="38" t="s">
        <v>1663</v>
      </c>
      <c r="B13" s="72">
        <f ca="1">COUNTIF($L$30:$L$79,"Yes")</f>
        <v>15</v>
      </c>
      <c r="C13" s="75">
        <f ca="1">B13/B1</f>
        <v>0.3</v>
      </c>
      <c r="D13" s="91">
        <f ca="1">COUNTIFS($L$30:$L$79,"Yes",$B$30:$B$79,"Automotive")</f>
        <v>3</v>
      </c>
      <c r="E13" s="72">
        <f ca="1">COUNTIFS($L$30:$L$79,"Yes",$B$30:$B$79,"Mechanical engineering")</f>
        <v>3</v>
      </c>
      <c r="F13" s="91">
        <f ca="1">COUNTIFS($L$30:$L$79,"Yes",$B$30:$B$79,"Chemical")</f>
        <v>2</v>
      </c>
      <c r="G13" s="72">
        <f ca="1">COUNTIFS($L$30:$L$79,"Yes",$B$30:$B$79,"Electrical")</f>
        <v>4</v>
      </c>
      <c r="H13" s="89">
        <f ca="1">COUNTIFS($L$30:$L$79,"Yes",$B$30:$B$79,"Military and defense")</f>
        <v>3</v>
      </c>
      <c r="I13" s="88"/>
      <c r="J13" s="24"/>
      <c r="L13" s="1"/>
      <c r="M13" s="37"/>
    </row>
    <row r="14" spans="1:17">
      <c r="A14" s="38" t="s">
        <v>1665</v>
      </c>
      <c r="B14" s="72">
        <f ca="1">COUNTIF($M$30:$M$79,"Library with current documents")</f>
        <v>37</v>
      </c>
      <c r="C14" s="75">
        <f ca="1">B14/B1</f>
        <v>0.74</v>
      </c>
      <c r="D14" s="91">
        <f ca="1">COUNTIFS($M$30:$M$79,"Library with current documents",$B$30:$B$79,"Automotive")</f>
        <v>9</v>
      </c>
      <c r="E14" s="72">
        <f ca="1">COUNTIFS($M$30:$M$79,"Library with current documents",$B$30:$B$79,"Mechanical engineering")</f>
        <v>8</v>
      </c>
      <c r="F14" s="91">
        <f ca="1">COUNTIFS($M$30:$M$79,"Library with current documents",$B$30:$B$79,"Chemical")</f>
        <v>8</v>
      </c>
      <c r="G14" s="72">
        <f ca="1">COUNTIFS($M$30:$M$79,"Library with current documents",$B$30:$B$79,"Electrical")</f>
        <v>7</v>
      </c>
      <c r="H14" s="89">
        <f ca="1">COUNTIFS($M$30:$M$79,"Library with current documents",$B$30:$B$79,"Military and defense")</f>
        <v>5</v>
      </c>
      <c r="I14" s="88"/>
      <c r="J14" s="24"/>
      <c r="L14" s="1"/>
      <c r="M14" s="37"/>
    </row>
    <row r="15" spans="1:17">
      <c r="A15" s="38" t="s">
        <v>1664</v>
      </c>
      <c r="B15" s="72">
        <v>2</v>
      </c>
      <c r="C15" s="75">
        <f>B15/B1</f>
        <v>0.04</v>
      </c>
      <c r="D15" s="86">
        <v>0</v>
      </c>
      <c r="E15" s="94">
        <v>0</v>
      </c>
      <c r="F15" s="86">
        <v>0</v>
      </c>
      <c r="G15" s="95">
        <v>1</v>
      </c>
      <c r="H15" s="45">
        <v>1</v>
      </c>
      <c r="I15" s="88"/>
      <c r="J15" s="24"/>
      <c r="L15" s="1"/>
      <c r="M15" s="37"/>
    </row>
    <row r="16" spans="1:17">
      <c r="A16" s="66" t="s">
        <v>1632</v>
      </c>
      <c r="B16" s="70"/>
      <c r="C16" s="70"/>
      <c r="D16" s="90"/>
      <c r="E16" s="93"/>
      <c r="F16" s="90"/>
      <c r="G16" s="32"/>
      <c r="H16" s="82"/>
      <c r="I16" s="88"/>
      <c r="J16" s="24"/>
      <c r="L16" s="1"/>
      <c r="M16" s="37"/>
    </row>
    <row r="17" spans="1:22">
      <c r="A17" s="38" t="s">
        <v>1669</v>
      </c>
      <c r="B17" s="74">
        <f ca="1">50-(COUNTIF($O$30:$O$79,"No"))</f>
        <v>12</v>
      </c>
      <c r="C17" s="77">
        <f ca="1">B17/B1</f>
        <v>0.24</v>
      </c>
      <c r="D17" s="87">
        <f ca="1">10-(COUNTIFS($O$30:$O$79,"No",$B$30:$B$79,"Automotive"))</f>
        <v>4</v>
      </c>
      <c r="E17" s="74">
        <f ca="1">10-(COUNTIFS($O$30:$O$79,"No",$B$30:$B$79,"Mechanical engineering"))</f>
        <v>2</v>
      </c>
      <c r="F17" s="87">
        <f ca="1">10-(COUNTIFS($O$30:$O$79,"No",$B$30:$B$79,"Chemical"))</f>
        <v>3</v>
      </c>
      <c r="G17" s="74">
        <f ca="1">10-(COUNTIFS($O$30:$O$79,"No",$B$30:$B$79,"Electrical"))</f>
        <v>2</v>
      </c>
      <c r="H17" s="83">
        <f ca="1">10-(COUNTIFS($O$30:$O$79,"No",$B$30:$B$79,"Military and defense"))</f>
        <v>1</v>
      </c>
      <c r="I17" s="88"/>
      <c r="J17" s="24"/>
      <c r="L17" s="1"/>
      <c r="M17" s="37"/>
    </row>
    <row r="18" spans="1:22">
      <c r="A18" s="38" t="s">
        <v>1650</v>
      </c>
      <c r="B18" s="71">
        <f ca="1">COUNTIF($P$30:$P$79,"Yes")</f>
        <v>44</v>
      </c>
      <c r="C18" s="77">
        <f ca="1">B18/B1</f>
        <v>0.88</v>
      </c>
      <c r="D18" s="86">
        <f ca="1">COUNTIFS($P$30:$P$79,"Yes",$B$30:$B$79,"Automotive")</f>
        <v>10</v>
      </c>
      <c r="E18" s="71">
        <f ca="1">COUNTIFS($P$30:$P$79,"Yes",$B$30:$B$79,"Mechanical engineering")</f>
        <v>10</v>
      </c>
      <c r="F18" s="86">
        <f ca="1">COUNTIFS($P$30:$P$79,"Yes",$B$30:$B$79,"Chemical")</f>
        <v>8</v>
      </c>
      <c r="G18" s="71">
        <f ca="1">COUNTIFS($P$30:$P$79,"Yes",$B$30:$B$79,"Electrical")</f>
        <v>9</v>
      </c>
      <c r="H18" s="81">
        <f ca="1">COUNTIFS($P$30:$P$79,"Yes",$B$30:$B$79,"Military and defense")</f>
        <v>7</v>
      </c>
      <c r="I18" s="88"/>
      <c r="J18" s="24"/>
      <c r="L18" s="1"/>
      <c r="M18" s="37"/>
    </row>
    <row r="19" spans="1:22">
      <c r="A19" s="38" t="s">
        <v>1667</v>
      </c>
      <c r="B19" s="71">
        <f ca="1">COUNTIF($Q$30:$Q$79,"Yes")</f>
        <v>33</v>
      </c>
      <c r="C19" s="77">
        <f ca="1">B19/$B$1</f>
        <v>0.66</v>
      </c>
      <c r="D19" s="86">
        <f ca="1">COUNTIFS($Q$30:$Q$79,"Yes", $B$30:$B$79,"Automotive")</f>
        <v>7</v>
      </c>
      <c r="E19" s="71">
        <f ca="1">COUNTIFS($Q$30:$Q$79,"Yes", $B$30:$B$79,"Mechanical engineering")</f>
        <v>8</v>
      </c>
      <c r="F19" s="86">
        <f ca="1">COUNTIFS($Q$30:$Q$79,"Yes", $B$30:$B$79,"Chemical")</f>
        <v>6</v>
      </c>
      <c r="G19" s="71">
        <f ca="1">COUNTIFS($Q$30:$Q$79,"Yes", $B$30:$B$79,"Electrical")</f>
        <v>5</v>
      </c>
      <c r="H19" s="81">
        <f ca="1">COUNTIFS($Q$30:$Q$79,"Yes", $B$30:$B$79,"Military and defense")</f>
        <v>7</v>
      </c>
      <c r="I19" s="88"/>
      <c r="J19" s="24"/>
      <c r="L19" s="1"/>
      <c r="M19" s="37"/>
    </row>
    <row r="20" spans="1:22">
      <c r="A20" s="38" t="s">
        <v>1673</v>
      </c>
      <c r="B20" s="74">
        <f ca="1">50-(COUNTIF($R$30:$R$79,"None"))</f>
        <v>44</v>
      </c>
      <c r="C20" s="77">
        <f ca="1">B20/$B$1</f>
        <v>0.88</v>
      </c>
      <c r="D20" s="87">
        <f ca="1">10-(COUNTIFS($R$30:$R$79,"None",$B$30:$B$79,"Automotive"))</f>
        <v>10</v>
      </c>
      <c r="E20" s="74">
        <f ca="1">10-(COUNTIFS($R$30:$R$79,"None",$B$30:$B$79,"Mechanical engineering"))</f>
        <v>10</v>
      </c>
      <c r="F20" s="87">
        <f ca="1">10-(COUNTIFS($R$30:$R$79,"None",$B$30:$B$79,"Chemical"))</f>
        <v>9</v>
      </c>
      <c r="G20" s="74">
        <f ca="1">10-(COUNTIFS($R$30:$R$79,"None",$B$30:$B$79,"Electrical"))</f>
        <v>8</v>
      </c>
      <c r="H20" s="83">
        <f ca="1">10-(COUNTIFS($R$30:$R$79,"None",$B$30:$B$79,"Military and defense"))</f>
        <v>7</v>
      </c>
      <c r="I20" s="88"/>
      <c r="J20" s="24"/>
      <c r="L20" s="1"/>
      <c r="M20" s="37"/>
    </row>
    <row r="21" spans="1:22">
      <c r="A21" s="38" t="s">
        <v>1674</v>
      </c>
      <c r="B21" s="71">
        <f ca="1">50-(COUNTIF($S$30:$S$79,"No"))</f>
        <v>39</v>
      </c>
      <c r="C21" s="77">
        <f ca="1">B21/$B$1</f>
        <v>0.78</v>
      </c>
      <c r="D21" s="86">
        <f ca="1">10-(COUNTIFS($S$30:$S$79,"No",$B$30:$B$79,"Automotive"))</f>
        <v>9</v>
      </c>
      <c r="E21" s="71">
        <f ca="1">10-(COUNTIFS($S$30:$S$79,"No",$B$30:$B$79,"Mechanical engineering"))</f>
        <v>9</v>
      </c>
      <c r="F21" s="86">
        <f ca="1">10-(COUNTIFS($S$30:$S$79,"No",$B$30:$B$79,"Chemical"))</f>
        <v>8</v>
      </c>
      <c r="G21" s="71">
        <f ca="1">10-(COUNTIFS($S$30:$S$79,"No",$B$30:$B$79,"Electrical"))</f>
        <v>8</v>
      </c>
      <c r="H21" s="81">
        <f ca="1">10-(COUNTIFS($S$30:$S$79,"No",$B$30:$B$79,"Military and defense"))</f>
        <v>5</v>
      </c>
      <c r="I21" s="88"/>
      <c r="J21" s="24"/>
      <c r="L21" s="1"/>
      <c r="M21" s="37"/>
    </row>
    <row r="22" spans="1:22">
      <c r="A22" s="38" t="s">
        <v>1675</v>
      </c>
      <c r="B22" s="71">
        <f ca="1">50-COUNTIF($S$30:$S$79, "No")-COUNTIF($S$30:$S$79, "Index with page references")</f>
        <v>21</v>
      </c>
      <c r="C22" s="77">
        <f ca="1">B22/$B$1</f>
        <v>0.42</v>
      </c>
      <c r="D22" s="86">
        <f ca="1">10-COUNTIFS($S$30:$S$79, "No",$B$30:$B$79,"Automotive")-COUNTIFS($S$30:$S$79, "Index with page references",$B$30:$B$79,"Automotive")</f>
        <v>3</v>
      </c>
      <c r="E22" s="71">
        <f ca="1">10-COUNTIFS($S$30:$S$79, "No",$B$30:$B$79,"Mechanical engineering")-COUNTIFS($S$30:$S$79, "Index with page references",$B$30:$B$79,"Mechanical engineering")</f>
        <v>3</v>
      </c>
      <c r="F22" s="86">
        <f ca="1">10-COUNTIFS($S$30:$S$79, "No",$B$30:$B$79,"Chemical")-COUNTIFS($S$30:$S$79, "Index with page references",$B$30:$B$79,"Chemical")</f>
        <v>6</v>
      </c>
      <c r="G22" s="71">
        <f ca="1">10-COUNTIFS($S$30:$S$79, "No",$B$30:$B$79,"Electrical")-COUNTIFS($S$30:$S$79, "Index with page references",$B$30:$B$79,"Electrical")</f>
        <v>5</v>
      </c>
      <c r="H22" s="81">
        <f ca="1">10-COUNTIFS($S$30:$S$79, "No",$B$30:$B$79,"Military and defense")-COUNTIFS($S$30:$S$79, "Index with page references",$B$30:$B$79,"Military and defense")</f>
        <v>4</v>
      </c>
      <c r="I22" s="88"/>
      <c r="J22" s="24"/>
      <c r="L22" s="1"/>
      <c r="M22" s="37"/>
    </row>
    <row r="23" spans="1:22">
      <c r="A23" s="66" t="s">
        <v>1633</v>
      </c>
      <c r="B23" s="70"/>
      <c r="C23" s="70"/>
      <c r="D23" s="90"/>
      <c r="E23" s="93"/>
      <c r="F23" s="90"/>
      <c r="G23" s="32"/>
      <c r="H23" s="82"/>
      <c r="I23" s="88"/>
      <c r="J23" s="24"/>
      <c r="L23" s="1"/>
      <c r="M23" s="37"/>
    </row>
    <row r="24" spans="1:22">
      <c r="A24" s="38" t="s">
        <v>1670</v>
      </c>
      <c r="B24" s="72">
        <f ca="1">COUNTIF($U$30:$U$79, "Yes")</f>
        <v>2</v>
      </c>
      <c r="C24" s="77">
        <f ca="1">B24/$B$1</f>
        <v>0.04</v>
      </c>
      <c r="D24" s="91">
        <f ca="1">COUNTIFS($U$30:$U$79, "Yes",$B$30:$B$79,"Automotive")</f>
        <v>0</v>
      </c>
      <c r="E24" s="72">
        <f ca="1">COUNTIFS($U$30:$U$79, "Yes",$B$30:$B$79,"Mechanical engineering")</f>
        <v>0</v>
      </c>
      <c r="F24" s="91">
        <f ca="1">COUNTIFS($U$30:$U$79, "Yes",$B$30:$B$79,"Chemical")</f>
        <v>1</v>
      </c>
      <c r="G24" s="72">
        <f ca="1">COUNTIFS($U$30:$U$79, "Yes",$B$30:$B$79,"Electrical")</f>
        <v>0</v>
      </c>
      <c r="H24" s="89">
        <f ca="1">COUNTIFS($U$30:$U$79, "Yes",$B$30:$B$79,"Military and defense")</f>
        <v>1</v>
      </c>
      <c r="I24" s="88"/>
      <c r="J24" s="24"/>
      <c r="L24" s="1"/>
      <c r="M24" s="37"/>
    </row>
    <row r="25" spans="1:22">
      <c r="A25" s="38" t="s">
        <v>1668</v>
      </c>
      <c r="B25" s="74">
        <f ca="1">COUNTIF($V$30:$V$79, "Closed license")</f>
        <v>2</v>
      </c>
      <c r="C25" s="77">
        <f ca="1">B25/$B$1</f>
        <v>0.04</v>
      </c>
      <c r="D25" s="87">
        <f ca="1">COUNTIFS($V$30:$V$79, "Closed license",$B$30:$B$79,"Automotive")</f>
        <v>0</v>
      </c>
      <c r="E25" s="74">
        <f ca="1">COUNTIFS($V$30:$V$79, "Closed license",$B$30:$B$79,"Mechanical engineering")</f>
        <v>0</v>
      </c>
      <c r="F25" s="87">
        <f ca="1">COUNTIFS($V$30:$V$79, "Closed license",$B$30:$B$79,"Chemical")</f>
        <v>1</v>
      </c>
      <c r="G25" s="74">
        <f ca="1">COUNTIFS($V$30:$V$79, "Closed license",$B$30:$B$79,"Electrical")</f>
        <v>0</v>
      </c>
      <c r="H25" s="83">
        <f ca="1">COUNTIFS($V$30:$V$79, "Closed license",$B$30:$B$79,"Military and defense")</f>
        <v>1</v>
      </c>
      <c r="I25" s="88"/>
      <c r="J25" s="24"/>
      <c r="L25" s="1"/>
      <c r="M25" s="37"/>
    </row>
    <row r="26" spans="1:22">
      <c r="A26" s="38"/>
      <c r="B26" s="38"/>
      <c r="C26" s="24"/>
      <c r="D26" s="67"/>
      <c r="F26" s="1"/>
      <c r="G26" s="24"/>
      <c r="I26" s="1"/>
      <c r="J26" s="24"/>
      <c r="K26" s="24"/>
      <c r="M26" s="1"/>
      <c r="N26" s="1"/>
      <c r="O26" s="24"/>
      <c r="Q26" s="1"/>
      <c r="R26" s="37"/>
    </row>
    <row r="27" spans="1:22">
      <c r="F27" s="1"/>
      <c r="G27" s="24"/>
      <c r="I27" s="1"/>
      <c r="J27" s="24"/>
      <c r="K27" s="24"/>
      <c r="M27" s="1"/>
      <c r="N27" s="1"/>
      <c r="O27" s="24"/>
      <c r="Q27" s="1"/>
      <c r="R27" s="37"/>
    </row>
    <row r="28" spans="1:22" s="2" customFormat="1">
      <c r="C28" s="100" t="s">
        <v>1659</v>
      </c>
      <c r="D28" s="100"/>
      <c r="E28" s="100"/>
      <c r="F28" s="100"/>
      <c r="G28" s="51"/>
      <c r="H28" s="103" t="s">
        <v>1658</v>
      </c>
      <c r="I28" s="100"/>
      <c r="J28" s="104"/>
      <c r="K28" s="61"/>
      <c r="L28" s="103" t="s">
        <v>1631</v>
      </c>
      <c r="M28" s="104"/>
      <c r="N28" s="61"/>
      <c r="O28" s="105" t="s">
        <v>1632</v>
      </c>
      <c r="P28" s="106"/>
      <c r="Q28" s="106"/>
      <c r="R28" s="106"/>
      <c r="S28" s="107"/>
      <c r="T28" s="64"/>
      <c r="U28" s="100" t="s">
        <v>1633</v>
      </c>
      <c r="V28" s="100"/>
    </row>
    <row r="29" spans="1:22" ht="17">
      <c r="A29" s="23" t="s">
        <v>1485</v>
      </c>
      <c r="B29" s="23"/>
      <c r="C29" s="23" t="s">
        <v>1645</v>
      </c>
      <c r="D29" s="68" t="s">
        <v>1637</v>
      </c>
      <c r="E29" s="23" t="s">
        <v>1646</v>
      </c>
      <c r="F29" s="43" t="s">
        <v>1638</v>
      </c>
      <c r="G29" s="46"/>
      <c r="H29" s="52" t="s">
        <v>1643</v>
      </c>
      <c r="I29" s="43" t="s">
        <v>1644</v>
      </c>
      <c r="J29" s="53" t="s">
        <v>1648</v>
      </c>
      <c r="K29" s="62"/>
      <c r="L29" s="52" t="s">
        <v>1647</v>
      </c>
      <c r="M29" s="55" t="s">
        <v>1649</v>
      </c>
      <c r="N29" s="63"/>
      <c r="O29" s="57" t="s">
        <v>1655</v>
      </c>
      <c r="P29" s="23" t="s">
        <v>1654</v>
      </c>
      <c r="Q29" s="43" t="s">
        <v>1653</v>
      </c>
      <c r="R29" s="58" t="s">
        <v>1651</v>
      </c>
      <c r="S29" s="59" t="s">
        <v>1652</v>
      </c>
      <c r="T29" s="65"/>
      <c r="U29" s="23" t="s">
        <v>1656</v>
      </c>
      <c r="V29" s="23" t="s">
        <v>1657</v>
      </c>
    </row>
    <row r="30" spans="1:22" ht="17">
      <c r="A30" s="1" t="s">
        <v>68</v>
      </c>
      <c r="B30" s="1" t="str">
        <f>VLOOKUP(A30,'Total &amp; sector scores'!A1:B51,2,FALSE)</f>
        <v>Electrical</v>
      </c>
      <c r="C30" s="24" t="str" cm="1">
        <f t="array" aca="1" ref="C30" ca="1">INDIRECT("'"&amp;A30&amp;"'!$D$18")</f>
        <v>Yes</v>
      </c>
      <c r="D30" s="67" t="str" cm="1">
        <f t="array" aca="1" ref="D30" ca="1">INDIRECT("'"&amp;A30&amp;"'!$D$19")</f>
        <v>No</v>
      </c>
      <c r="E30" s="24" t="str" cm="1">
        <f t="array" aca="1" ref="E30" ca="1">INDIRECT("'"&amp;A30&amp;"'!$D$20")</f>
        <v>Limited assurance</v>
      </c>
      <c r="F30" s="37" t="str" cm="1">
        <f t="array" aca="1" ref="F30" ca="1">INDIRECT("'"&amp;A30&amp;"'!$D$21")</f>
        <v>Yes</v>
      </c>
      <c r="G30" s="46"/>
      <c r="H30" s="45" t="str" cm="1">
        <f t="array" aca="1" ref="H30" ca="1">INDIRECT("'"&amp;A30&amp;"'!$D$5")</f>
        <v>On request</v>
      </c>
      <c r="I30" s="1" t="str" cm="1">
        <f t="array" aca="1" ref="I30" ca="1">INDIRECT("'"&amp;A30&amp;"'!$D$6")</f>
        <v>PDF (text based)</v>
      </c>
      <c r="J30" s="54" t="str" cm="1">
        <f t="array" aca="1" ref="J30" ca="1">INDIRECT("'"&amp;A30&amp;"'!$D$7")</f>
        <v>No</v>
      </c>
      <c r="K30" s="24"/>
      <c r="L30" s="45" t="str" cm="1">
        <f t="array" aca="1" ref="L30" ca="1">INDIRECT("'"&amp;A30&amp;"'!$D$8")</f>
        <v>No</v>
      </c>
      <c r="M30" s="56" t="str" cm="1">
        <f t="array" aca="1" ref="M30" ca="1">INDIRECT("'"&amp;A30&amp;"'!$D$9")</f>
        <v>Library with current documents</v>
      </c>
      <c r="N30" s="1"/>
      <c r="O30" s="44" t="str" cm="1">
        <f t="array" aca="1" ref="O30" ca="1">INDIRECT("'"&amp;A30&amp;"'!$D$10")</f>
        <v>No</v>
      </c>
      <c r="P30" t="str" cm="1">
        <f t="array" aca="1" ref="P30" ca="1">INDIRECT("'"&amp;A30&amp;"'!$D$11")</f>
        <v>Yes</v>
      </c>
      <c r="Q30" s="1" t="str" cm="1">
        <f t="array" aca="1" ref="Q30" ca="1">INDIRECT("'"&amp;A30&amp;"'!$D$12")</f>
        <v>No</v>
      </c>
      <c r="R30" s="37" t="str" cm="1">
        <f t="array" aca="1" ref="R30" ca="1">INDIRECT("'"&amp;A30&amp;"'!$D$13")</f>
        <v>CSRD (ESRS), Greenhouse Gas Protocol</v>
      </c>
      <c r="S30" s="60" t="str" cm="1">
        <f t="array" aca="1" ref="S30" ca="1">INDIRECT("'"&amp;A30&amp;"'!$D$14")</f>
        <v>Alongside disclosures (in line or on the same page), Index with page references</v>
      </c>
      <c r="T30" s="48"/>
      <c r="U30" t="str" cm="1">
        <f t="array" aca="1" ref="U30" ca="1">INDIRECT("'"&amp;A30&amp;"'!$D$15")</f>
        <v>No</v>
      </c>
      <c r="V30" t="str" cm="1">
        <f t="array" aca="1" ref="V30" ca="1">INDIRECT("'"&amp;A30&amp;"'!$D$16")</f>
        <v>Not specified</v>
      </c>
    </row>
    <row r="31" spans="1:22" ht="17">
      <c r="A31" s="1" t="s">
        <v>74</v>
      </c>
      <c r="B31" s="1" t="str">
        <f>VLOOKUP(A31,'Total &amp; sector scores'!A2:B52,2,FALSE)</f>
        <v>Military and defense</v>
      </c>
      <c r="C31" s="24" t="str" cm="1">
        <f t="array" aca="1" ref="C31" ca="1">INDIRECT("'"&amp;A31&amp;"'!$D$18")</f>
        <v>Yes</v>
      </c>
      <c r="D31" s="67" t="str" cm="1">
        <f t="array" aca="1" ref="D31" ca="1">INDIRECT("'"&amp;A31&amp;"'!$D$19")</f>
        <v>No</v>
      </c>
      <c r="E31" s="24" t="str" cm="1">
        <f t="array" aca="1" ref="E31" ca="1">INDIRECT("'"&amp;A31&amp;"'!$D$20")</f>
        <v>Reasonable assurance</v>
      </c>
      <c r="F31" s="37" t="str" cm="1">
        <f t="array" aca="1" ref="F31" ca="1">INDIRECT("'"&amp;A31&amp;"'!$D$21")</f>
        <v>Yes</v>
      </c>
      <c r="G31" s="46"/>
      <c r="H31" s="45" t="str" cm="1">
        <f t="array" aca="1" ref="H31" ca="1">INDIRECT("'"&amp;A31&amp;"'!$D$5")</f>
        <v>Own website</v>
      </c>
      <c r="I31" s="1" t="str" cm="1">
        <f t="array" aca="1" ref="I31" ca="1">INDIRECT("'"&amp;A31&amp;"'!$D$6")</f>
        <v>PDF (text based)</v>
      </c>
      <c r="J31" s="54" t="str" cm="1">
        <f t="array" aca="1" ref="J31" ca="1">INDIRECT("'"&amp;A31&amp;"'!$D$7")</f>
        <v>Yes</v>
      </c>
      <c r="K31" s="24"/>
      <c r="L31" s="45" t="str" cm="1">
        <f t="array" aca="1" ref="L31" ca="1">INDIRECT("'"&amp;A31&amp;"'!$D$8")</f>
        <v>Yes</v>
      </c>
      <c r="M31" s="56" t="str" cm="1">
        <f t="array" aca="1" ref="M31" ca="1">INDIRECT("'"&amp;A31&amp;"'!$D$9")</f>
        <v>Library with current documents</v>
      </c>
      <c r="N31" s="1"/>
      <c r="O31" s="44" t="str" cm="1">
        <f t="array" aca="1" ref="O31" ca="1">INDIRECT("'"&amp;A31&amp;"'!$D$10")</f>
        <v>No</v>
      </c>
      <c r="P31" t="str" cm="1">
        <f t="array" aca="1" ref="P31" ca="1">INDIRECT("'"&amp;A31&amp;"'!$D$11")</f>
        <v>Yes</v>
      </c>
      <c r="Q31" s="1" t="str" cm="1">
        <f t="array" aca="1" ref="Q31" ca="1">INDIRECT("'"&amp;A31&amp;"'!$D$12")</f>
        <v>No</v>
      </c>
      <c r="R31" s="37" t="str" cm="1">
        <f t="array" aca="1" ref="R31" ca="1">INDIRECT("'"&amp;A31&amp;"'!$D$13")</f>
        <v>CSRD (ESRS), Greenhouse Gas Protocol</v>
      </c>
      <c r="S31" s="60" t="str" cm="1">
        <f t="array" aca="1" ref="S31" ca="1">INDIRECT("'"&amp;A31&amp;"'!$D$14")</f>
        <v>Alongside disclosures (in line or on the same page), Index with page references</v>
      </c>
      <c r="T31" s="48"/>
      <c r="U31" t="str" cm="1">
        <f t="array" aca="1" ref="U31" ca="1">INDIRECT("'"&amp;A31&amp;"'!$D$15")</f>
        <v>No</v>
      </c>
      <c r="V31" t="str" cm="1">
        <f t="array" aca="1" ref="V31" ca="1">INDIRECT("'"&amp;A31&amp;"'!$D$16")</f>
        <v>Not specified</v>
      </c>
    </row>
    <row r="32" spans="1:22" ht="17">
      <c r="A32" s="1" t="s">
        <v>182</v>
      </c>
      <c r="B32" s="1" t="str">
        <f>VLOOKUP(A32,'Total &amp; sector scores'!A3:B53,2,FALSE)</f>
        <v>Electrical</v>
      </c>
      <c r="C32" s="24" t="str" cm="1">
        <f t="array" aca="1" ref="C32" ca="1">INDIRECT("'"&amp;A32&amp;"'!$D$18")</f>
        <v>No</v>
      </c>
      <c r="D32" s="67" t="str" cm="1">
        <f t="array" aca="1" ref="D32" ca="1">INDIRECT("'"&amp;A32&amp;"'!$D$19")</f>
        <v>No</v>
      </c>
      <c r="E32" s="24" t="str" cm="1">
        <f t="array" aca="1" ref="E32" ca="1">INDIRECT("'"&amp;A32&amp;"'!$D$20")</f>
        <v>No assurance given</v>
      </c>
      <c r="F32" s="37" t="str" cm="1">
        <f t="array" aca="1" ref="F32" ca="1">INDIRECT("'"&amp;A32&amp;"'!$D$21")</f>
        <v>No</v>
      </c>
      <c r="G32" s="46"/>
      <c r="H32" s="45" t="str" cm="1">
        <f t="array" aca="1" ref="H32" ca="1">INDIRECT("'"&amp;A32&amp;"'!$D$5")</f>
        <v>Own website</v>
      </c>
      <c r="I32" s="1" t="str" cm="1">
        <f t="array" aca="1" ref="I32" ca="1">INDIRECT("'"&amp;A32&amp;"'!$D$6")</f>
        <v>PDF (text based)</v>
      </c>
      <c r="J32" s="54" t="str" cm="1">
        <f t="array" aca="1" ref="J32" ca="1">INDIRECT("'"&amp;A32&amp;"'!$D$7")</f>
        <v>Yes</v>
      </c>
      <c r="K32" s="24"/>
      <c r="L32" s="45" t="str" cm="1">
        <f t="array" aca="1" ref="L32" ca="1">INDIRECT("'"&amp;A32&amp;"'!$D$8")</f>
        <v>Yes</v>
      </c>
      <c r="M32" s="56" t="str" cm="1">
        <f t="array" aca="1" ref="M32" ca="1">INDIRECT("'"&amp;A32&amp;"'!$D$9")</f>
        <v>No</v>
      </c>
      <c r="N32" s="1"/>
      <c r="O32" s="44" t="str" cm="1">
        <f t="array" aca="1" ref="O32" ca="1">INDIRECT("'"&amp;A32&amp;"'!$D$10")</f>
        <v>No</v>
      </c>
      <c r="P32" t="str" cm="1">
        <f t="array" aca="1" ref="P32" ca="1">INDIRECT("'"&amp;A32&amp;"'!$D$11")</f>
        <v>No</v>
      </c>
      <c r="Q32" s="1" t="str" cm="1">
        <f t="array" aca="1" ref="Q32" ca="1">INDIRECT("'"&amp;A32&amp;"'!$D$12")</f>
        <v>No</v>
      </c>
      <c r="R32" s="37" t="str" cm="1">
        <f t="array" aca="1" ref="R32" ca="1">INDIRECT("'"&amp;A32&amp;"'!$D$13")</f>
        <v>None</v>
      </c>
      <c r="S32" s="60" t="str" cm="1">
        <f t="array" aca="1" ref="S32" ca="1">INDIRECT("'"&amp;A32&amp;"'!$D$14")</f>
        <v>No</v>
      </c>
      <c r="T32" s="48"/>
      <c r="U32" t="str" cm="1">
        <f t="array" aca="1" ref="U32" ca="1">INDIRECT("'"&amp;A32&amp;"'!$D$15")</f>
        <v>No</v>
      </c>
      <c r="V32" t="str" cm="1">
        <f t="array" aca="1" ref="V32" ca="1">INDIRECT("'"&amp;A32&amp;"'!$D$16")</f>
        <v>Not specified</v>
      </c>
    </row>
    <row r="33" spans="1:22" ht="17">
      <c r="A33" s="1" t="s">
        <v>108</v>
      </c>
      <c r="B33" s="1" t="str">
        <f>VLOOKUP(A33,'Total &amp; sector scores'!A4:B54,2,FALSE)</f>
        <v>Chemical</v>
      </c>
      <c r="C33" s="24" t="str" cm="1">
        <f t="array" aca="1" ref="C33" ca="1">INDIRECT("'"&amp;A33&amp;"'!$D$18")</f>
        <v>Yes</v>
      </c>
      <c r="D33" s="67" t="str" cm="1">
        <f t="array" aca="1" ref="D33" ca="1">INDIRECT("'"&amp;A33&amp;"'!$D$19")</f>
        <v>No</v>
      </c>
      <c r="E33" s="24" t="str" cm="1">
        <f t="array" aca="1" ref="E33" ca="1">INDIRECT("'"&amp;A33&amp;"'!$D$20")</f>
        <v>Limited assurance</v>
      </c>
      <c r="F33" s="37" t="str" cm="1">
        <f t="array" aca="1" ref="F33" ca="1">INDIRECT("'"&amp;A33&amp;"'!$D$21")</f>
        <v>Yes</v>
      </c>
      <c r="G33" s="46"/>
      <c r="H33" s="45" t="str" cm="1">
        <f t="array" aca="1" ref="H33" ca="1">INDIRECT("'"&amp;A33&amp;"'!$D$5")</f>
        <v>Own website, Central database</v>
      </c>
      <c r="I33" s="1" t="str" cm="1">
        <f t="array" aca="1" ref="I33" ca="1">INDIRECT("'"&amp;A33&amp;"'!$D$6")</f>
        <v>PDF (text based), Web HTML page, Spreadsheet</v>
      </c>
      <c r="J33" s="54" t="str" cm="1">
        <f t="array" aca="1" ref="J33" ca="1">INDIRECT("'"&amp;A33&amp;"'!$D$7")</f>
        <v>Yes</v>
      </c>
      <c r="K33" s="24"/>
      <c r="L33" s="45" t="str" cm="1">
        <f t="array" aca="1" ref="L33" ca="1">INDIRECT("'"&amp;A33&amp;"'!$D$8")</f>
        <v>Yes</v>
      </c>
      <c r="M33" s="56" t="str" cm="1">
        <f t="array" aca="1" ref="M33" ca="1">INDIRECT("'"&amp;A33&amp;"'!$D$9")</f>
        <v>Library with current documents</v>
      </c>
      <c r="N33" s="1"/>
      <c r="O33" s="44" t="str" cm="1">
        <f t="array" aca="1" ref="O33" ca="1">INDIRECT("'"&amp;A33&amp;"'!$D$10")</f>
        <v>Company Registration Number/ID</v>
      </c>
      <c r="P33" t="str" cm="1">
        <f t="array" aca="1" ref="P33" ca="1">INDIRECT("'"&amp;A33&amp;"'!$D$11")</f>
        <v>Yes</v>
      </c>
      <c r="Q33" s="1" t="str" cm="1">
        <f t="array" aca="1" ref="Q33" ca="1">INDIRECT("'"&amp;A33&amp;"'!$D$12")</f>
        <v>Yes</v>
      </c>
      <c r="R33" s="37" t="str" cm="1">
        <f t="array" aca="1" ref="R33" ca="1">INDIRECT("'"&amp;A33&amp;"'!$D$13")</f>
        <v>CSRD (ESRS), CDP, Greenhouse Gas Protocol, Other</v>
      </c>
      <c r="S33" s="60" t="str" cm="1">
        <f t="array" aca="1" ref="S33" ca="1">INDIRECT("'"&amp;A33&amp;"'!$D$14")</f>
        <v>Alongside disclosures (in line or on the same page), Index with page references</v>
      </c>
      <c r="T33" s="48"/>
      <c r="U33" t="str" cm="1">
        <f t="array" aca="1" ref="U33" ca="1">INDIRECT("'"&amp;A33&amp;"'!$D$15")</f>
        <v>No</v>
      </c>
      <c r="V33" t="str" cm="1">
        <f t="array" aca="1" ref="V33" ca="1">INDIRECT("'"&amp;A33&amp;"'!$D$16")</f>
        <v>Not specified</v>
      </c>
    </row>
    <row r="34" spans="1:22" ht="34">
      <c r="A34" s="1" t="s">
        <v>87</v>
      </c>
      <c r="B34" s="1" t="str">
        <f>VLOOKUP(A34,'Total &amp; sector scores'!A5:B55,2,FALSE)</f>
        <v>Chemical</v>
      </c>
      <c r="C34" s="24" t="str" cm="1">
        <f t="array" aca="1" ref="C34" ca="1">INDIRECT("'"&amp;A34&amp;"'!$D$18")</f>
        <v>Yes</v>
      </c>
      <c r="D34" s="67" t="str" cm="1">
        <f t="array" aca="1" ref="D34" ca="1">INDIRECT("'"&amp;A34&amp;"'!$D$19")</f>
        <v>Yes</v>
      </c>
      <c r="E34" s="24" t="str" cm="1">
        <f t="array" aca="1" ref="E34" ca="1">INDIRECT("'"&amp;A34&amp;"'!$D$20")</f>
        <v>Limited assurance</v>
      </c>
      <c r="F34" s="37" t="str" cm="1">
        <f t="array" aca="1" ref="F34" ca="1">INDIRECT("'"&amp;A34&amp;"'!$D$21")</f>
        <v>Yes</v>
      </c>
      <c r="G34" s="46"/>
      <c r="H34" s="45" t="str" cm="1">
        <f t="array" aca="1" ref="H34" ca="1">INDIRECT("'"&amp;A34&amp;"'!$D$5")</f>
        <v>Own website, Central database</v>
      </c>
      <c r="I34" s="1" t="str" cm="1">
        <f t="array" aca="1" ref="I34" ca="1">INDIRECT("'"&amp;A34&amp;"'!$D$6")</f>
        <v>PDF (text based)</v>
      </c>
      <c r="J34" s="54" t="str" cm="1">
        <f t="array" aca="1" ref="J34" ca="1">INDIRECT("'"&amp;A34&amp;"'!$D$7")</f>
        <v>Yes</v>
      </c>
      <c r="K34" s="24"/>
      <c r="L34" s="45" t="str" cm="1">
        <f t="array" aca="1" ref="L34" ca="1">INDIRECT("'"&amp;A34&amp;"'!$D$8")</f>
        <v>No</v>
      </c>
      <c r="M34" s="56" t="str" cm="1">
        <f t="array" aca="1" ref="M34" ca="1">INDIRECT("'"&amp;A34&amp;"'!$D$9")</f>
        <v>No</v>
      </c>
      <c r="N34" s="1"/>
      <c r="O34" s="44" t="str" cm="1">
        <f t="array" aca="1" ref="O34" ca="1">INDIRECT("'"&amp;A34&amp;"'!$D$10")</f>
        <v>Company Registration Number/ID</v>
      </c>
      <c r="P34" t="str" cm="1">
        <f t="array" aca="1" ref="P34" ca="1">INDIRECT("'"&amp;A34&amp;"'!$D$11")</f>
        <v>Yes</v>
      </c>
      <c r="Q34" s="1" t="str" cm="1">
        <f t="array" aca="1" ref="Q34" ca="1">INDIRECT("'"&amp;A34&amp;"'!$D$12")</f>
        <v>Yes</v>
      </c>
      <c r="R34" s="37" t="str" cm="1">
        <f t="array" aca="1" ref="R34" ca="1">INDIRECT("'"&amp;A34&amp;"'!$D$13")</f>
        <v>GRI Standards, CSRD (ESRS), CDP, Greenhouse Gas Protocol, Other</v>
      </c>
      <c r="S34" s="60" t="str" cm="1">
        <f t="array" aca="1" ref="S34" ca="1">INDIRECT("'"&amp;A34&amp;"'!$D$14")</f>
        <v>Alongside disclosures (in line or on the same page)</v>
      </c>
      <c r="T34" s="48"/>
      <c r="U34" t="str" cm="1">
        <f t="array" aca="1" ref="U34" ca="1">INDIRECT("'"&amp;A34&amp;"'!$D$15")</f>
        <v>No</v>
      </c>
      <c r="V34" t="str" cm="1">
        <f t="array" aca="1" ref="V34" ca="1">INDIRECT("'"&amp;A34&amp;"'!$D$16")</f>
        <v>Not specified</v>
      </c>
    </row>
    <row r="35" spans="1:22" ht="34">
      <c r="A35" s="1" t="s">
        <v>92</v>
      </c>
      <c r="B35" s="1" t="str">
        <f>VLOOKUP(A35,'Total &amp; sector scores'!A6:B56,2,FALSE)</f>
        <v>Automotive</v>
      </c>
      <c r="C35" s="24" t="str" cm="1">
        <f t="array" aca="1" ref="C35" ca="1">INDIRECT("'"&amp;A35&amp;"'!$D$18")</f>
        <v>Yes</v>
      </c>
      <c r="D35" s="67" t="str" cm="1">
        <f t="array" aca="1" ref="D35" ca="1">INDIRECT("'"&amp;A35&amp;"'!$D$19")</f>
        <v>Yes</v>
      </c>
      <c r="E35" s="24" t="str" cm="1">
        <f t="array" aca="1" ref="E35" ca="1">INDIRECT("'"&amp;A35&amp;"'!$D$20")</f>
        <v>Limited assurance</v>
      </c>
      <c r="F35" s="37" t="str" cm="1">
        <f t="array" aca="1" ref="F35" ca="1">INDIRECT("'"&amp;A35&amp;"'!$D$21")</f>
        <v>Yes</v>
      </c>
      <c r="G35" s="46"/>
      <c r="H35" s="45" t="str" cm="1">
        <f t="array" aca="1" ref="H35" ca="1">INDIRECT("'"&amp;A35&amp;"'!$D$5")</f>
        <v>Own website, Central database</v>
      </c>
      <c r="I35" s="1" t="str" cm="1">
        <f t="array" aca="1" ref="I35" ca="1">INDIRECT("'"&amp;A35&amp;"'!$D$6")</f>
        <v>PDF (text based), Web HTML page</v>
      </c>
      <c r="J35" s="54" t="str" cm="1">
        <f t="array" aca="1" ref="J35" ca="1">INDIRECT("'"&amp;A35&amp;"'!$D$7")</f>
        <v>Yes</v>
      </c>
      <c r="K35" s="24"/>
      <c r="L35" s="45" t="str" cm="1">
        <f t="array" aca="1" ref="L35" ca="1">INDIRECT("'"&amp;A35&amp;"'!$D$8")</f>
        <v>Yes</v>
      </c>
      <c r="M35" s="56" t="str" cm="1">
        <f t="array" aca="1" ref="M35" ca="1">INDIRECT("'"&amp;A35&amp;"'!$D$9")</f>
        <v>Library with current documents</v>
      </c>
      <c r="N35" s="1"/>
      <c r="O35" s="44" t="str" cm="1">
        <f t="array" aca="1" ref="O35" ca="1">INDIRECT("'"&amp;A35&amp;"'!$D$10")</f>
        <v>No</v>
      </c>
      <c r="P35" t="str" cm="1">
        <f t="array" aca="1" ref="P35" ca="1">INDIRECT("'"&amp;A35&amp;"'!$D$11")</f>
        <v>Yes</v>
      </c>
      <c r="Q35" s="1" t="str" cm="1">
        <f t="array" aca="1" ref="Q35" ca="1">INDIRECT("'"&amp;A35&amp;"'!$D$12")</f>
        <v>Yes</v>
      </c>
      <c r="R35" s="37" t="str" cm="1">
        <f t="array" aca="1" ref="R35" ca="1">INDIRECT("'"&amp;A35&amp;"'!$D$13")</f>
        <v>GRI Standards, SASB, CSRD (ESRS), Greenhouse Gas Protocol, National standards, Other</v>
      </c>
      <c r="S35" s="60" t="str" cm="1">
        <f t="array" aca="1" ref="S35" ca="1">INDIRECT("'"&amp;A35&amp;"'!$D$14")</f>
        <v>Index with page references</v>
      </c>
      <c r="T35" s="48"/>
      <c r="U35" t="str" cm="1">
        <f t="array" aca="1" ref="U35" ca="1">INDIRECT("'"&amp;A35&amp;"'!$D$15")</f>
        <v>No</v>
      </c>
      <c r="V35" t="str" cm="1">
        <f t="array" aca="1" ref="V35" ca="1">INDIRECT("'"&amp;A35&amp;"'!$D$16")</f>
        <v>Not specified</v>
      </c>
    </row>
    <row r="36" spans="1:22" ht="17">
      <c r="A36" s="1" t="s">
        <v>201</v>
      </c>
      <c r="B36" s="1" t="str">
        <f>VLOOKUP(A36,'Total &amp; sector scores'!A7:B57,2,FALSE)</f>
        <v>Chemical</v>
      </c>
      <c r="C36" s="24" t="str" cm="1">
        <f t="array" aca="1" ref="C36" ca="1">INDIRECT("'"&amp;A36&amp;"'!$D$18")</f>
        <v>No</v>
      </c>
      <c r="D36" s="67" t="str" cm="1">
        <f t="array" aca="1" ref="D36" ca="1">INDIRECT("'"&amp;A36&amp;"'!$D$19")</f>
        <v>No</v>
      </c>
      <c r="E36" s="24" t="str" cm="1">
        <f t="array" aca="1" ref="E36" ca="1">INDIRECT("'"&amp;A36&amp;"'!$D$20")</f>
        <v>No assurance given</v>
      </c>
      <c r="F36" s="37" t="str" cm="1">
        <f t="array" aca="1" ref="F36" ca="1">INDIRECT("'"&amp;A36&amp;"'!$D$21")</f>
        <v>No</v>
      </c>
      <c r="G36" s="46"/>
      <c r="H36" s="45" t="str" cm="1">
        <f t="array" aca="1" ref="H36" ca="1">INDIRECT("'"&amp;A36&amp;"'!$D$5")</f>
        <v>Own website, Central database</v>
      </c>
      <c r="I36" s="1" t="str" cm="1">
        <f t="array" aca="1" ref="I36" ca="1">INDIRECT("'"&amp;A36&amp;"'!$D$6")</f>
        <v>PDF (text based)</v>
      </c>
      <c r="J36" s="54" t="str" cm="1">
        <f t="array" aca="1" ref="J36" ca="1">INDIRECT("'"&amp;A36&amp;"'!$D$7")</f>
        <v>Yes</v>
      </c>
      <c r="K36" s="24"/>
      <c r="L36" s="45" t="str" cm="1">
        <f t="array" aca="1" ref="L36" ca="1">INDIRECT("'"&amp;A36&amp;"'!$D$8")</f>
        <v>No</v>
      </c>
      <c r="M36" s="56" t="str" cm="1">
        <f t="array" aca="1" ref="M36" ca="1">INDIRECT("'"&amp;A36&amp;"'!$D$9")</f>
        <v>Library with current documents</v>
      </c>
      <c r="N36" s="1"/>
      <c r="O36" s="44" t="str" cm="1">
        <f t="array" aca="1" ref="O36" ca="1">INDIRECT("'"&amp;A36&amp;"'!$D$10")</f>
        <v>No</v>
      </c>
      <c r="P36" t="str" cm="1">
        <f t="array" aca="1" ref="P36" ca="1">INDIRECT("'"&amp;A36&amp;"'!$D$11")</f>
        <v>No</v>
      </c>
      <c r="Q36" s="1" t="str" cm="1">
        <f t="array" aca="1" ref="Q36" ca="1">INDIRECT("'"&amp;A36&amp;"'!$D$12")</f>
        <v>Yes</v>
      </c>
      <c r="R36" s="37" t="str" cm="1">
        <f t="array" aca="1" ref="R36" ca="1">INDIRECT("'"&amp;A36&amp;"'!$D$13")</f>
        <v>None</v>
      </c>
      <c r="S36" s="60" t="str" cm="1">
        <f t="array" aca="1" ref="S36" ca="1">INDIRECT("'"&amp;A36&amp;"'!$D$14")</f>
        <v>No</v>
      </c>
      <c r="T36" s="48"/>
      <c r="U36" t="str" cm="1">
        <f t="array" aca="1" ref="U36" ca="1">INDIRECT("'"&amp;A36&amp;"'!$D$15")</f>
        <v>Yes</v>
      </c>
      <c r="V36" t="str" cm="1">
        <f t="array" aca="1" ref="V36" ca="1">INDIRECT("'"&amp;A36&amp;"'!$D$16")</f>
        <v>Closed license</v>
      </c>
    </row>
    <row r="37" spans="1:22" ht="34">
      <c r="A37" s="1" t="s">
        <v>126</v>
      </c>
      <c r="B37" s="1" t="str">
        <f>VLOOKUP(A37,'Total &amp; sector scores'!A8:B58,2,FALSE)</f>
        <v>Automotive</v>
      </c>
      <c r="C37" s="24" t="str" cm="1">
        <f t="array" aca="1" ref="C37" ca="1">INDIRECT("'"&amp;A37&amp;"'!$D$18")</f>
        <v>Yes</v>
      </c>
      <c r="D37" s="67" t="str" cm="1">
        <f t="array" aca="1" ref="D37" ca="1">INDIRECT("'"&amp;A37&amp;"'!$D$19")</f>
        <v>No</v>
      </c>
      <c r="E37" s="24" t="str" cm="1">
        <f t="array" aca="1" ref="E37" ca="1">INDIRECT("'"&amp;A37&amp;"'!$D$20")</f>
        <v>Limited assurance</v>
      </c>
      <c r="F37" s="37" t="str" cm="1">
        <f t="array" aca="1" ref="F37" ca="1">INDIRECT("'"&amp;A37&amp;"'!$D$21")</f>
        <v>Yes</v>
      </c>
      <c r="G37" s="46"/>
      <c r="H37" s="45" t="str" cm="1">
        <f t="array" aca="1" ref="H37" ca="1">INDIRECT("'"&amp;A37&amp;"'!$D$5")</f>
        <v>Own website, Central database</v>
      </c>
      <c r="I37" s="1" t="str" cm="1">
        <f t="array" aca="1" ref="I37" ca="1">INDIRECT("'"&amp;A37&amp;"'!$D$6")</f>
        <v>PDF (text based)</v>
      </c>
      <c r="J37" s="54" t="str" cm="1">
        <f t="array" aca="1" ref="J37" ca="1">INDIRECT("'"&amp;A37&amp;"'!$D$7")</f>
        <v>Yes</v>
      </c>
      <c r="K37" s="24"/>
      <c r="L37" s="45" t="str" cm="1">
        <f t="array" aca="1" ref="L37" ca="1">INDIRECT("'"&amp;A37&amp;"'!$D$8")</f>
        <v>No</v>
      </c>
      <c r="M37" s="56" t="str" cm="1">
        <f t="array" aca="1" ref="M37" ca="1">INDIRECT("'"&amp;A37&amp;"'!$D$9")</f>
        <v>Library with current documents</v>
      </c>
      <c r="N37" s="1"/>
      <c r="O37" s="44" t="str" cm="1">
        <f t="array" aca="1" ref="O37" ca="1">INDIRECT("'"&amp;A37&amp;"'!$D$10")</f>
        <v>No</v>
      </c>
      <c r="P37" t="str" cm="1">
        <f t="array" aca="1" ref="P37" ca="1">INDIRECT("'"&amp;A37&amp;"'!$D$11")</f>
        <v>Yes</v>
      </c>
      <c r="Q37" s="1" t="str" cm="1">
        <f t="array" aca="1" ref="Q37" ca="1">INDIRECT("'"&amp;A37&amp;"'!$D$12")</f>
        <v>No</v>
      </c>
      <c r="R37" s="37" t="str" cm="1">
        <f t="array" aca="1" ref="R37" ca="1">INDIRECT("'"&amp;A37&amp;"'!$D$13")</f>
        <v>CSRD (ESRS), Greenhouse Gas Protocol, National standards, Other</v>
      </c>
      <c r="S37" s="60" t="str" cm="1">
        <f t="array" aca="1" ref="S37" ca="1">INDIRECT("'"&amp;A37&amp;"'!$D$14")</f>
        <v>Index with page references</v>
      </c>
      <c r="T37" s="48"/>
      <c r="U37" t="str" cm="1">
        <f t="array" aca="1" ref="U37" ca="1">INDIRECT("'"&amp;A37&amp;"'!$D$15")</f>
        <v>No</v>
      </c>
      <c r="V37" t="str" cm="1">
        <f t="array" aca="1" ref="V37" ca="1">INDIRECT("'"&amp;A37&amp;"'!$D$16")</f>
        <v>Not specified</v>
      </c>
    </row>
    <row r="38" spans="1:22" ht="17">
      <c r="A38" s="1" t="s">
        <v>164</v>
      </c>
      <c r="B38" s="1" t="str">
        <f>VLOOKUP(A38,'Total &amp; sector scores'!A9:B59,2,FALSE)</f>
        <v>Chemical</v>
      </c>
      <c r="C38" s="24" t="str" cm="1">
        <f t="array" aca="1" ref="C38" ca="1">INDIRECT("'"&amp;A38&amp;"'!$D$18")</f>
        <v>Yes</v>
      </c>
      <c r="D38" s="67" t="str" cm="1">
        <f t="array" aca="1" ref="D38" ca="1">INDIRECT("'"&amp;A38&amp;"'!$D$19")</f>
        <v>No</v>
      </c>
      <c r="E38" s="24" t="str" cm="1">
        <f t="array" aca="1" ref="E38" ca="1">INDIRECT("'"&amp;A38&amp;"'!$D$20")</f>
        <v>Limited assurance</v>
      </c>
      <c r="F38" s="37" t="str" cm="1">
        <f t="array" aca="1" ref="F38" ca="1">INDIRECT("'"&amp;A38&amp;"'!$D$21")</f>
        <v>Yes</v>
      </c>
      <c r="G38" s="46"/>
      <c r="H38" s="45" t="str" cm="1">
        <f t="array" aca="1" ref="H38" ca="1">INDIRECT("'"&amp;A38&amp;"'!$D$5")</f>
        <v>Own website, Central database</v>
      </c>
      <c r="I38" s="1" t="str" cm="1">
        <f t="array" aca="1" ref="I38" ca="1">INDIRECT("'"&amp;A38&amp;"'!$D$6")</f>
        <v>PDF (text based)</v>
      </c>
      <c r="J38" s="54" t="str" cm="1">
        <f t="array" aca="1" ref="J38" ca="1">INDIRECT("'"&amp;A38&amp;"'!$D$7")</f>
        <v>No</v>
      </c>
      <c r="K38" s="24"/>
      <c r="L38" s="45" t="str" cm="1">
        <f t="array" aca="1" ref="L38" ca="1">INDIRECT("'"&amp;A38&amp;"'!$D$8")</f>
        <v>No</v>
      </c>
      <c r="M38" s="56" t="str" cm="1">
        <f t="array" aca="1" ref="M38" ca="1">INDIRECT("'"&amp;A38&amp;"'!$D$9")</f>
        <v>Library with current documents</v>
      </c>
      <c r="N38" s="1"/>
      <c r="O38" s="44" t="str" cm="1">
        <f t="array" aca="1" ref="O38" ca="1">INDIRECT("'"&amp;A38&amp;"'!$D$10")</f>
        <v>No</v>
      </c>
      <c r="P38" t="str" cm="1">
        <f t="array" aca="1" ref="P38" ca="1">INDIRECT("'"&amp;A38&amp;"'!$D$11")</f>
        <v>Yes</v>
      </c>
      <c r="Q38" s="1" t="str" cm="1">
        <f t="array" aca="1" ref="Q38" ca="1">INDIRECT("'"&amp;A38&amp;"'!$D$12")</f>
        <v>No</v>
      </c>
      <c r="R38" s="37" t="str" cm="1">
        <f t="array" aca="1" ref="R38" ca="1">INDIRECT("'"&amp;A38&amp;"'!$D$13")</f>
        <v>CSRD (ESRS), Greenhouse Gas Protocol</v>
      </c>
      <c r="S38" s="60" t="str" cm="1">
        <f t="array" aca="1" ref="S38" ca="1">INDIRECT("'"&amp;A38&amp;"'!$D$14")</f>
        <v>No</v>
      </c>
      <c r="T38" s="48"/>
      <c r="U38" t="str" cm="1">
        <f t="array" aca="1" ref="U38" ca="1">INDIRECT("'"&amp;A38&amp;"'!$D$15")</f>
        <v>No</v>
      </c>
      <c r="V38" t="str" cm="1">
        <f t="array" aca="1" ref="V38" ca="1">INDIRECT("'"&amp;A38&amp;"'!$D$16")</f>
        <v>Not specified</v>
      </c>
    </row>
    <row r="39" spans="1:22" ht="17">
      <c r="A39" s="3" t="s">
        <v>191</v>
      </c>
      <c r="B39" s="1" t="str">
        <f>VLOOKUP(A39,'Total &amp; sector scores'!A10:B60,2,FALSE)</f>
        <v>Mechanical engineering</v>
      </c>
      <c r="C39" s="24" t="str" cm="1">
        <f t="array" aca="1" ref="C39" ca="1">INDIRECT("'"&amp;A39&amp;"'!$D$18")</f>
        <v>Yes</v>
      </c>
      <c r="D39" s="67" t="str" cm="1">
        <f t="array" aca="1" ref="D39" ca="1">INDIRECT("'"&amp;A39&amp;"'!$D$19")</f>
        <v>No</v>
      </c>
      <c r="E39" s="24" t="str" cm="1">
        <f t="array" aca="1" ref="E39" ca="1">INDIRECT("'"&amp;A39&amp;"'!$D$20")</f>
        <v>Limited assurance</v>
      </c>
      <c r="F39" s="37" t="str" cm="1">
        <f t="array" aca="1" ref="F39" ca="1">INDIRECT("'"&amp;A39&amp;"'!$D$21")</f>
        <v>Yes</v>
      </c>
      <c r="G39" s="46"/>
      <c r="H39" s="45" t="str" cm="1">
        <f t="array" aca="1" ref="H39" ca="1">INDIRECT("'"&amp;A39&amp;"'!$D$5")</f>
        <v>Own website</v>
      </c>
      <c r="I39" s="1" t="str" cm="1">
        <f t="array" aca="1" ref="I39" ca="1">INDIRECT("'"&amp;A39&amp;"'!$D$6")</f>
        <v>PDF (text based)</v>
      </c>
      <c r="J39" s="54" t="str" cm="1">
        <f t="array" aca="1" ref="J39" ca="1">INDIRECT("'"&amp;A39&amp;"'!$D$7")</f>
        <v>Yes</v>
      </c>
      <c r="K39" s="24"/>
      <c r="L39" s="45" t="str" cm="1">
        <f t="array" aca="1" ref="L39" ca="1">INDIRECT("'"&amp;A39&amp;"'!$D$8")</f>
        <v>No</v>
      </c>
      <c r="M39" s="56" t="str" cm="1">
        <f t="array" aca="1" ref="M39" ca="1">INDIRECT("'"&amp;A39&amp;"'!$D$9")</f>
        <v>Library with current documents</v>
      </c>
      <c r="N39" s="1"/>
      <c r="O39" s="44" t="str" cm="1">
        <f t="array" aca="1" ref="O39" ca="1">INDIRECT("'"&amp;A39&amp;"'!$D$10")</f>
        <v>No</v>
      </c>
      <c r="P39" t="str" cm="1">
        <f t="array" aca="1" ref="P39" ca="1">INDIRECT("'"&amp;A39&amp;"'!$D$11")</f>
        <v>Yes</v>
      </c>
      <c r="Q39" s="1" t="str" cm="1">
        <f t="array" aca="1" ref="Q39" ca="1">INDIRECT("'"&amp;A39&amp;"'!$D$12")</f>
        <v>Yes</v>
      </c>
      <c r="R39" s="37" t="str" cm="1">
        <f t="array" aca="1" ref="R39" ca="1">INDIRECT("'"&amp;A39&amp;"'!$D$13")</f>
        <v>GRI Standards, SASB, CSRD (ESRS), Greenhouse Gas Protocol</v>
      </c>
      <c r="S39" s="60" t="str" cm="1">
        <f t="array" aca="1" ref="S39" ca="1">INDIRECT("'"&amp;A39&amp;"'!$D$14")</f>
        <v>Index with page references</v>
      </c>
      <c r="T39" s="48"/>
      <c r="U39" t="str" cm="1">
        <f t="array" aca="1" ref="U39" ca="1">INDIRECT("'"&amp;A39&amp;"'!$D$15")</f>
        <v>No</v>
      </c>
      <c r="V39" t="str" cm="1">
        <f t="array" aca="1" ref="V39" ca="1">INDIRECT("'"&amp;A39&amp;"'!$D$16")</f>
        <v>Not specified</v>
      </c>
    </row>
    <row r="40" spans="1:22" ht="17">
      <c r="A40" s="1" t="s">
        <v>118</v>
      </c>
      <c r="B40" s="1" t="str">
        <f>VLOOKUP(A40,'Total &amp; sector scores'!A11:B61,2,FALSE)</f>
        <v>Automotive</v>
      </c>
      <c r="C40" s="24" t="str" cm="1">
        <f t="array" aca="1" ref="C40" ca="1">INDIRECT("'"&amp;A40&amp;"'!$D$18")</f>
        <v>Yes</v>
      </c>
      <c r="D40" s="67" t="str" cm="1">
        <f t="array" aca="1" ref="D40" ca="1">INDIRECT("'"&amp;A40&amp;"'!$D$19")</f>
        <v>No</v>
      </c>
      <c r="E40" s="24" t="str" cm="1">
        <f t="array" aca="1" ref="E40" ca="1">INDIRECT("'"&amp;A40&amp;"'!$D$20")</f>
        <v>Limited assurance</v>
      </c>
      <c r="F40" s="37" t="str" cm="1">
        <f t="array" aca="1" ref="F40" ca="1">INDIRECT("'"&amp;A40&amp;"'!$D$21")</f>
        <v>Yes</v>
      </c>
      <c r="G40" s="46"/>
      <c r="H40" s="45" t="str" cm="1">
        <f t="array" aca="1" ref="H40" ca="1">INDIRECT("'"&amp;A40&amp;"'!$D$5")</f>
        <v>Own website, Central database</v>
      </c>
      <c r="I40" s="1" t="str" cm="1">
        <f t="array" aca="1" ref="I40" ca="1">INDIRECT("'"&amp;A40&amp;"'!$D$6")</f>
        <v>PDF (text based)</v>
      </c>
      <c r="J40" s="54" t="str" cm="1">
        <f t="array" aca="1" ref="J40" ca="1">INDIRECT("'"&amp;A40&amp;"'!$D$7")</f>
        <v>Yes</v>
      </c>
      <c r="K40" s="24"/>
      <c r="L40" s="45" t="str" cm="1">
        <f t="array" aca="1" ref="L40" ca="1">INDIRECT("'"&amp;A40&amp;"'!$D$8")</f>
        <v>Yes</v>
      </c>
      <c r="M40" s="56" t="str" cm="1">
        <f t="array" aca="1" ref="M40" ca="1">INDIRECT("'"&amp;A40&amp;"'!$D$9")</f>
        <v>Library with current documents</v>
      </c>
      <c r="N40" s="1"/>
      <c r="O40" s="44" t="str" cm="1">
        <f t="array" aca="1" ref="O40" ca="1">INDIRECT("'"&amp;A40&amp;"'!$D$10")</f>
        <v>No</v>
      </c>
      <c r="P40" t="str" cm="1">
        <f t="array" aca="1" ref="P40" ca="1">INDIRECT("'"&amp;A40&amp;"'!$D$11")</f>
        <v>Yes</v>
      </c>
      <c r="Q40" s="1" t="str" cm="1">
        <f t="array" aca="1" ref="Q40" ca="1">INDIRECT("'"&amp;A40&amp;"'!$D$12")</f>
        <v>Yes</v>
      </c>
      <c r="R40" s="37" t="str" cm="1">
        <f t="array" aca="1" ref="R40" ca="1">INDIRECT("'"&amp;A40&amp;"'!$D$13")</f>
        <v>CSRD (ESRS), CDP</v>
      </c>
      <c r="S40" s="60" t="str" cm="1">
        <f t="array" aca="1" ref="S40" ca="1">INDIRECT("'"&amp;A40&amp;"'!$D$14")</f>
        <v>Index with page references</v>
      </c>
      <c r="T40" s="48"/>
      <c r="U40" t="str" cm="1">
        <f t="array" aca="1" ref="U40" ca="1">INDIRECT("'"&amp;A40&amp;"'!$D$15")</f>
        <v>No</v>
      </c>
      <c r="V40" t="str" cm="1">
        <f t="array" aca="1" ref="V40" ca="1">INDIRECT("'"&amp;A40&amp;"'!$D$16")</f>
        <v>Not specified</v>
      </c>
    </row>
    <row r="41" spans="1:22" ht="17">
      <c r="A41" s="1" t="s">
        <v>197</v>
      </c>
      <c r="B41" s="1" t="str">
        <f>VLOOKUP(A41,'Total &amp; sector scores'!A12:B62,2,FALSE)</f>
        <v>Mechanical engineering</v>
      </c>
      <c r="C41" s="24" t="str" cm="1">
        <f t="array" aca="1" ref="C41" ca="1">INDIRECT("'"&amp;A41&amp;"'!$D$18")</f>
        <v>No</v>
      </c>
      <c r="D41" s="67" t="str" cm="1">
        <f t="array" aca="1" ref="D41" ca="1">INDIRECT("'"&amp;A41&amp;"'!$D$19")</f>
        <v>Yes</v>
      </c>
      <c r="E41" s="24" t="str" cm="1">
        <f t="array" aca="1" ref="E41" ca="1">INDIRECT("'"&amp;A41&amp;"'!$D$20")</f>
        <v>Limited assurance, Reasonable assurance</v>
      </c>
      <c r="F41" s="37" t="str" cm="1">
        <f t="array" aca="1" ref="F41" ca="1">INDIRECT("'"&amp;A41&amp;"'!$D$21")</f>
        <v>Yes</v>
      </c>
      <c r="G41" s="46"/>
      <c r="H41" s="45" t="str" cm="1">
        <f t="array" aca="1" ref="H41" ca="1">INDIRECT("'"&amp;A41&amp;"'!$D$5")</f>
        <v>Own website</v>
      </c>
      <c r="I41" s="1" t="str" cm="1">
        <f t="array" aca="1" ref="I41" ca="1">INDIRECT("'"&amp;A41&amp;"'!$D$6")</f>
        <v>PDF (text based)</v>
      </c>
      <c r="J41" s="54" t="str" cm="1">
        <f t="array" aca="1" ref="J41" ca="1">INDIRECT("'"&amp;A41&amp;"'!$D$7")</f>
        <v>Yes</v>
      </c>
      <c r="K41" s="24"/>
      <c r="L41" s="45" t="str" cm="1">
        <f t="array" aca="1" ref="L41" ca="1">INDIRECT("'"&amp;A41&amp;"'!$D$8")</f>
        <v>Yes</v>
      </c>
      <c r="M41" s="56" t="str" cm="1">
        <f t="array" aca="1" ref="M41" ca="1">INDIRECT("'"&amp;A41&amp;"'!$D$9")</f>
        <v>Library with current documents</v>
      </c>
      <c r="N41" s="1"/>
      <c r="O41" s="44" t="str" cm="1">
        <f t="array" aca="1" ref="O41" ca="1">INDIRECT("'"&amp;A41&amp;"'!$D$10")</f>
        <v>No</v>
      </c>
      <c r="P41" t="str" cm="1">
        <f t="array" aca="1" ref="P41" ca="1">INDIRECT("'"&amp;A41&amp;"'!$D$11")</f>
        <v>Yes</v>
      </c>
      <c r="Q41" s="1" t="str" cm="1">
        <f t="array" aca="1" ref="Q41" ca="1">INDIRECT("'"&amp;A41&amp;"'!$D$12")</f>
        <v>Yes</v>
      </c>
      <c r="R41" s="37" t="str" cm="1">
        <f t="array" aca="1" ref="R41" ca="1">INDIRECT("'"&amp;A41&amp;"'!$D$13")</f>
        <v>GRI Standards, SASB, Greenhouse Gas Protocol, Other</v>
      </c>
      <c r="S41" s="60" t="str" cm="1">
        <f t="array" aca="1" ref="S41" ca="1">INDIRECT("'"&amp;A41&amp;"'!$D$14")</f>
        <v>Index with page references</v>
      </c>
      <c r="T41" s="48"/>
      <c r="U41" t="str" cm="1">
        <f t="array" aca="1" ref="U41" ca="1">INDIRECT("'"&amp;A41&amp;"'!$D$15")</f>
        <v>No</v>
      </c>
      <c r="V41" t="str" cm="1">
        <f t="array" aca="1" ref="V41" ca="1">INDIRECT("'"&amp;A41&amp;"'!$D$16")</f>
        <v>Not specified</v>
      </c>
    </row>
    <row r="42" spans="1:22" ht="17">
      <c r="A42" s="1" t="s">
        <v>53</v>
      </c>
      <c r="B42" s="1" t="str">
        <f>VLOOKUP(A42,'Total &amp; sector scores'!A13:B63,2,FALSE)</f>
        <v>Military and defense</v>
      </c>
      <c r="C42" s="24" t="str" cm="1">
        <f t="array" aca="1" ref="C42" ca="1">INDIRECT("'"&amp;A42&amp;"'!$D$18")</f>
        <v>Yes</v>
      </c>
      <c r="D42" s="67" t="str" cm="1">
        <f t="array" aca="1" ref="D42" ca="1">INDIRECT("'"&amp;A42&amp;"'!$D$19")</f>
        <v>No</v>
      </c>
      <c r="E42" s="24" t="str" cm="1">
        <f t="array" aca="1" ref="E42" ca="1">INDIRECT("'"&amp;A42&amp;"'!$D$20")</f>
        <v>No assurance given</v>
      </c>
      <c r="F42" s="37" t="str" cm="1">
        <f t="array" aca="1" ref="F42" ca="1">INDIRECT("'"&amp;A42&amp;"'!$D$21")</f>
        <v>Yes</v>
      </c>
      <c r="G42" s="46"/>
      <c r="H42" s="45" t="str" cm="1">
        <f t="array" aca="1" ref="H42" ca="1">INDIRECT("'"&amp;A42&amp;"'!$D$5")</f>
        <v>Own website</v>
      </c>
      <c r="I42" s="1" t="str" cm="1">
        <f t="array" aca="1" ref="I42" ca="1">INDIRECT("'"&amp;A42&amp;"'!$D$6")</f>
        <v>PDF (text based)</v>
      </c>
      <c r="J42" s="54" t="str" cm="1">
        <f t="array" aca="1" ref="J42" ca="1">INDIRECT("'"&amp;A42&amp;"'!$D$7")</f>
        <v>No</v>
      </c>
      <c r="K42" s="24"/>
      <c r="L42" s="45" t="str" cm="1">
        <f t="array" aca="1" ref="L42" ca="1">INDIRECT("'"&amp;A42&amp;"'!$D$8")</f>
        <v>No</v>
      </c>
      <c r="M42" s="56" t="str" cm="1">
        <f t="array" aca="1" ref="M42" ca="1">INDIRECT("'"&amp;A42&amp;"'!$D$9")</f>
        <v>No</v>
      </c>
      <c r="N42" s="1"/>
      <c r="O42" s="44" t="str" cm="1">
        <f t="array" aca="1" ref="O42" ca="1">INDIRECT("'"&amp;A42&amp;"'!$D$10")</f>
        <v>No</v>
      </c>
      <c r="P42" t="str" cm="1">
        <f t="array" aca="1" ref="P42" ca="1">INDIRECT("'"&amp;A42&amp;"'!$D$11")</f>
        <v>Yes</v>
      </c>
      <c r="Q42" s="1" t="str" cm="1">
        <f t="array" aca="1" ref="Q42" ca="1">INDIRECT("'"&amp;A42&amp;"'!$D$12")</f>
        <v>Yes</v>
      </c>
      <c r="R42" s="37" t="str" cm="1">
        <f t="array" aca="1" ref="R42" ca="1">INDIRECT("'"&amp;A42&amp;"'!$D$13")</f>
        <v>CSRD (ESRS), Greenhouse Gas Protocol</v>
      </c>
      <c r="S42" s="60" t="str" cm="1">
        <f t="array" aca="1" ref="S42" ca="1">INDIRECT("'"&amp;A42&amp;"'!$D$14")</f>
        <v>No</v>
      </c>
      <c r="T42" s="48"/>
      <c r="U42" t="str" cm="1">
        <f t="array" aca="1" ref="U42" ca="1">INDIRECT("'"&amp;A42&amp;"'!$D$15")</f>
        <v>No</v>
      </c>
      <c r="V42" t="str" cm="1">
        <f t="array" aca="1" ref="V42" ca="1">INDIRECT("'"&amp;A42&amp;"'!$D$16")</f>
        <v>Not specified</v>
      </c>
    </row>
    <row r="43" spans="1:22" ht="17">
      <c r="A43" s="1" t="s">
        <v>57</v>
      </c>
      <c r="B43" s="1" t="str">
        <f>VLOOKUP(A43,'Total &amp; sector scores'!A14:B64,2,FALSE)</f>
        <v>Electrical</v>
      </c>
      <c r="C43" s="24" t="str" cm="1">
        <f t="array" aca="1" ref="C43" ca="1">INDIRECT("'"&amp;A43&amp;"'!$D$18")</f>
        <v>Yes</v>
      </c>
      <c r="D43" s="67" t="str" cm="1">
        <f t="array" aca="1" ref="D43" ca="1">INDIRECT("'"&amp;A43&amp;"'!$D$19")</f>
        <v>No</v>
      </c>
      <c r="E43" s="24" t="str" cm="1">
        <f t="array" aca="1" ref="E43" ca="1">INDIRECT("'"&amp;A43&amp;"'!$D$20")</f>
        <v>Limited assurance</v>
      </c>
      <c r="F43" s="37" t="str" cm="1">
        <f t="array" aca="1" ref="F43" ca="1">INDIRECT("'"&amp;A43&amp;"'!$D$21")</f>
        <v>Yes</v>
      </c>
      <c r="G43" s="46"/>
      <c r="H43" s="45" t="str" cm="1">
        <f t="array" aca="1" ref="H43" ca="1">INDIRECT("'"&amp;A43&amp;"'!$D$5")</f>
        <v>Own website</v>
      </c>
      <c r="I43" s="1" t="str" cm="1">
        <f t="array" aca="1" ref="I43" ca="1">INDIRECT("'"&amp;A43&amp;"'!$D$6")</f>
        <v>PDF (text based)</v>
      </c>
      <c r="J43" s="54" t="str" cm="1">
        <f t="array" aca="1" ref="J43" ca="1">INDIRECT("'"&amp;A43&amp;"'!$D$7")</f>
        <v>Yes</v>
      </c>
      <c r="K43" s="24"/>
      <c r="L43" s="45" t="str" cm="1">
        <f t="array" aca="1" ref="L43" ca="1">INDIRECT("'"&amp;A43&amp;"'!$D$8")</f>
        <v>No</v>
      </c>
      <c r="M43" s="56" t="str" cm="1">
        <f t="array" aca="1" ref="M43" ca="1">INDIRECT("'"&amp;A43&amp;"'!$D$9")</f>
        <v>Archive with current and historic documents</v>
      </c>
      <c r="N43" s="1"/>
      <c r="O43" s="44" t="str" cm="1">
        <f t="array" aca="1" ref="O43" ca="1">INDIRECT("'"&amp;A43&amp;"'!$D$10")</f>
        <v>No</v>
      </c>
      <c r="P43" t="str" cm="1">
        <f t="array" aca="1" ref="P43" ca="1">INDIRECT("'"&amp;A43&amp;"'!$D$11")</f>
        <v>Yes</v>
      </c>
      <c r="Q43" s="1" t="str" cm="1">
        <f t="array" aca="1" ref="Q43" ca="1">INDIRECT("'"&amp;A43&amp;"'!$D$12")</f>
        <v>Yes</v>
      </c>
      <c r="R43" s="37" t="str" cm="1">
        <f t="array" aca="1" ref="R43" ca="1">INDIRECT("'"&amp;A43&amp;"'!$D$13")</f>
        <v>CSRD (ESRS), Greenhouse Gas Protocol</v>
      </c>
      <c r="S43" s="60" t="str" cm="1">
        <f t="array" aca="1" ref="S43" ca="1">INDIRECT("'"&amp;A43&amp;"'!$D$14")</f>
        <v>Index with page references</v>
      </c>
      <c r="T43" s="48"/>
      <c r="U43" t="str" cm="1">
        <f t="array" aca="1" ref="U43" ca="1">INDIRECT("'"&amp;A43&amp;"'!$D$15")</f>
        <v>No</v>
      </c>
      <c r="V43" t="str" cm="1">
        <f t="array" aca="1" ref="V43" ca="1">INDIRECT("'"&amp;A43&amp;"'!$D$16")</f>
        <v>Not specified</v>
      </c>
    </row>
    <row r="44" spans="1:22" ht="34">
      <c r="A44" s="1" t="s">
        <v>177</v>
      </c>
      <c r="B44" s="1" t="str">
        <f>VLOOKUP(A44,'Total &amp; sector scores'!A15:B65,2,FALSE)</f>
        <v>Electrical</v>
      </c>
      <c r="C44" s="24" t="str" cm="1">
        <f t="array" aca="1" ref="C44" ca="1">INDIRECT("'"&amp;A44&amp;"'!$D$18")</f>
        <v>Yes</v>
      </c>
      <c r="D44" s="67" t="str" cm="1">
        <f t="array" aca="1" ref="D44" ca="1">INDIRECT("'"&amp;A44&amp;"'!$D$19")</f>
        <v>Yes</v>
      </c>
      <c r="E44" s="24" t="str" cm="1">
        <f t="array" aca="1" ref="E44" ca="1">INDIRECT("'"&amp;A44&amp;"'!$D$20")</f>
        <v>Limited assurance, Reasonable assurance</v>
      </c>
      <c r="F44" s="37" t="str" cm="1">
        <f t="array" aca="1" ref="F44" ca="1">INDIRECT("'"&amp;A44&amp;"'!$D$21")</f>
        <v>Yes</v>
      </c>
      <c r="G44" s="46"/>
      <c r="H44" s="45" t="str" cm="1">
        <f t="array" aca="1" ref="H44" ca="1">INDIRECT("'"&amp;A44&amp;"'!$D$5")</f>
        <v>Own website</v>
      </c>
      <c r="I44" s="1" t="str" cm="1">
        <f t="array" aca="1" ref="I44" ca="1">INDIRECT("'"&amp;A44&amp;"'!$D$6")</f>
        <v>PDF (text based), Spreadsheet</v>
      </c>
      <c r="J44" s="54" t="str" cm="1">
        <f t="array" aca="1" ref="J44" ca="1">INDIRECT("'"&amp;A44&amp;"'!$D$7")</f>
        <v>Yes</v>
      </c>
      <c r="K44" s="24"/>
      <c r="L44" s="45" t="str" cm="1">
        <f t="array" aca="1" ref="L44" ca="1">INDIRECT("'"&amp;A44&amp;"'!$D$8")</f>
        <v>Yes</v>
      </c>
      <c r="M44" s="56" t="str" cm="1">
        <f t="array" aca="1" ref="M44" ca="1">INDIRECT("'"&amp;A44&amp;"'!$D$9")</f>
        <v>Library with current documents</v>
      </c>
      <c r="N44" s="1"/>
      <c r="O44" s="44" t="str" cm="1">
        <f t="array" aca="1" ref="O44" ca="1">INDIRECT("'"&amp;A44&amp;"'!$D$10")</f>
        <v>Company Registration Number/ID</v>
      </c>
      <c r="P44" t="str" cm="1">
        <f t="array" aca="1" ref="P44" ca="1">INDIRECT("'"&amp;A44&amp;"'!$D$11")</f>
        <v>Yes</v>
      </c>
      <c r="Q44" s="1" t="str" cm="1">
        <f t="array" aca="1" ref="Q44" ca="1">INDIRECT("'"&amp;A44&amp;"'!$D$12")</f>
        <v>No</v>
      </c>
      <c r="R44" s="37" t="str" cm="1">
        <f t="array" aca="1" ref="R44" ca="1">INDIRECT("'"&amp;A44&amp;"'!$D$13")</f>
        <v>CSRD (ESRS), Greenhouse Gas Protocol, National standards, Other</v>
      </c>
      <c r="S44" s="60" t="str" cm="1">
        <f t="array" aca="1" ref="S44" ca="1">INDIRECT("'"&amp;A44&amp;"'!$D$14")</f>
        <v>Alongside disclosures (in line or on the same page), Index with page references</v>
      </c>
      <c r="T44" s="48"/>
      <c r="U44" t="str" cm="1">
        <f t="array" aca="1" ref="U44" ca="1">INDIRECT("'"&amp;A44&amp;"'!$D$15")</f>
        <v>No</v>
      </c>
      <c r="V44" t="str" cm="1">
        <f t="array" aca="1" ref="V44" ca="1">INDIRECT("'"&amp;A44&amp;"'!$D$16")</f>
        <v>Not specified</v>
      </c>
    </row>
    <row r="45" spans="1:22" ht="17">
      <c r="A45" s="1" t="s">
        <v>1405</v>
      </c>
      <c r="B45" s="1" t="str">
        <f>VLOOKUP(A45,'Total &amp; sector scores'!A16:B66,2,FALSE)</f>
        <v>Mechanical engineering</v>
      </c>
      <c r="C45" s="24" t="str" cm="1">
        <f t="array" aca="1" ref="C45" ca="1">INDIRECT("'"&amp;A45&amp;"'!$D$18")</f>
        <v>No</v>
      </c>
      <c r="D45" s="67" t="str" cm="1">
        <f t="array" aca="1" ref="D45" ca="1">INDIRECT("'"&amp;A45&amp;"'!$D$19")</f>
        <v>No</v>
      </c>
      <c r="E45" s="24" t="str" cm="1">
        <f t="array" aca="1" ref="E45" ca="1">INDIRECT("'"&amp;A45&amp;"'!$D$20")</f>
        <v>No assurance given</v>
      </c>
      <c r="F45" s="37" t="str" cm="1">
        <f t="array" aca="1" ref="F45" ca="1">INDIRECT("'"&amp;A45&amp;"'!$D$21")</f>
        <v>Yes</v>
      </c>
      <c r="G45" s="46"/>
      <c r="H45" s="45" t="str" cm="1">
        <f t="array" aca="1" ref="H45" ca="1">INDIRECT("'"&amp;A45&amp;"'!$D$5")</f>
        <v>Own website</v>
      </c>
      <c r="I45" s="1" t="str" cm="1">
        <f t="array" aca="1" ref="I45" ca="1">INDIRECT("'"&amp;A45&amp;"'!$D$6")</f>
        <v>PDF (text based)</v>
      </c>
      <c r="J45" s="54" t="str" cm="1">
        <f t="array" aca="1" ref="J45" ca="1">INDIRECT("'"&amp;A45&amp;"'!$D$7")</f>
        <v>Yes</v>
      </c>
      <c r="K45" s="24"/>
      <c r="L45" s="45" t="str" cm="1">
        <f t="array" aca="1" ref="L45" ca="1">INDIRECT("'"&amp;A45&amp;"'!$D$8")</f>
        <v>No</v>
      </c>
      <c r="M45" s="56" t="str" cm="1">
        <f t="array" aca="1" ref="M45" ca="1">INDIRECT("'"&amp;A45&amp;"'!$D$9")</f>
        <v>Library with current documents</v>
      </c>
      <c r="N45" s="1"/>
      <c r="O45" s="44" t="str" cm="1">
        <f t="array" aca="1" ref="O45" ca="1">INDIRECT("'"&amp;A45&amp;"'!$D$10")</f>
        <v>No</v>
      </c>
      <c r="P45" t="str" cm="1">
        <f t="array" aca="1" ref="P45" ca="1">INDIRECT("'"&amp;A45&amp;"'!$D$11")</f>
        <v>Yes</v>
      </c>
      <c r="Q45" s="1" t="str" cm="1">
        <f t="array" aca="1" ref="Q45" ca="1">INDIRECT("'"&amp;A45&amp;"'!$D$12")</f>
        <v>Yes</v>
      </c>
      <c r="R45" s="37" t="str" cm="1">
        <f t="array" aca="1" ref="R45" ca="1">INDIRECT("'"&amp;A45&amp;"'!$D$13")</f>
        <v>GRI Standards</v>
      </c>
      <c r="S45" s="60" t="str" cm="1">
        <f t="array" aca="1" ref="S45" ca="1">INDIRECT("'"&amp;A45&amp;"'!$D$14")</f>
        <v>Alongside disclosures (in line or on the same page), Index with page references</v>
      </c>
      <c r="T45" s="48"/>
      <c r="U45" t="str" cm="1">
        <f t="array" aca="1" ref="U45" ca="1">INDIRECT("'"&amp;A45&amp;"'!$D$15")</f>
        <v>No</v>
      </c>
      <c r="V45" t="str" cm="1">
        <f t="array" aca="1" ref="V45" ca="1">INDIRECT("'"&amp;A45&amp;"'!$D$16")</f>
        <v>Not specified</v>
      </c>
    </row>
    <row r="46" spans="1:22" ht="17">
      <c r="A46" s="1" t="s">
        <v>45</v>
      </c>
      <c r="B46" s="1" t="str">
        <f>VLOOKUP(A46,'Total &amp; sector scores'!A17:B67,2,FALSE)</f>
        <v>Chemical</v>
      </c>
      <c r="C46" s="24" t="str" cm="1">
        <f t="array" aca="1" ref="C46" ca="1">INDIRECT("'"&amp;A46&amp;"'!$D$18")</f>
        <v>Yes</v>
      </c>
      <c r="D46" s="67" t="str" cm="1">
        <f t="array" aca="1" ref="D46" ca="1">INDIRECT("'"&amp;A46&amp;"'!$D$19")</f>
        <v>Yes</v>
      </c>
      <c r="E46" s="24" t="str" cm="1">
        <f t="array" aca="1" ref="E46" ca="1">INDIRECT("'"&amp;A46&amp;"'!$D$20")</f>
        <v>Limited assurance</v>
      </c>
      <c r="F46" s="37" t="str" cm="1">
        <f t="array" aca="1" ref="F46" ca="1">INDIRECT("'"&amp;A46&amp;"'!$D$21")</f>
        <v>Yes</v>
      </c>
      <c r="G46" s="46"/>
      <c r="H46" s="45" t="str" cm="1">
        <f t="array" aca="1" ref="H46" ca="1">INDIRECT("'"&amp;A46&amp;"'!$D$5")</f>
        <v>Own website</v>
      </c>
      <c r="I46" s="1" t="str" cm="1">
        <f t="array" aca="1" ref="I46" ca="1">INDIRECT("'"&amp;A46&amp;"'!$D$6")</f>
        <v>PDF (text based)</v>
      </c>
      <c r="J46" s="54" t="str" cm="1">
        <f t="array" aca="1" ref="J46" ca="1">INDIRECT("'"&amp;A46&amp;"'!$D$7")</f>
        <v>Yes</v>
      </c>
      <c r="K46" s="24"/>
      <c r="L46" s="45" t="str" cm="1">
        <f t="array" aca="1" ref="L46" ca="1">INDIRECT("'"&amp;A46&amp;"'!$D$8")</f>
        <v>No</v>
      </c>
      <c r="M46" s="56" t="str" cm="1">
        <f t="array" aca="1" ref="M46" ca="1">INDIRECT("'"&amp;A46&amp;"'!$D$9")</f>
        <v>Library with current documents</v>
      </c>
      <c r="N46" s="1"/>
      <c r="O46" s="44" t="str" cm="1">
        <f t="array" aca="1" ref="O46" ca="1">INDIRECT("'"&amp;A46&amp;"'!$D$10")</f>
        <v>No</v>
      </c>
      <c r="P46" t="str" cm="1">
        <f t="array" aca="1" ref="P46" ca="1">INDIRECT("'"&amp;A46&amp;"'!$D$11")</f>
        <v>Yes</v>
      </c>
      <c r="Q46" s="1" t="str" cm="1">
        <f t="array" aca="1" ref="Q46" ca="1">INDIRECT("'"&amp;A46&amp;"'!$D$12")</f>
        <v>No</v>
      </c>
      <c r="R46" s="37" t="str" cm="1">
        <f t="array" aca="1" ref="R46" ca="1">INDIRECT("'"&amp;A46&amp;"'!$D$13")</f>
        <v>CSRD (ESRS)</v>
      </c>
      <c r="S46" s="60" t="str" cm="1">
        <f t="array" aca="1" ref="S46" ca="1">INDIRECT("'"&amp;A46&amp;"'!$D$14")</f>
        <v>Alongside disclosures (in line or on the same page), Index with page references</v>
      </c>
      <c r="T46" s="48"/>
      <c r="U46" t="str" cm="1">
        <f t="array" aca="1" ref="U46" ca="1">INDIRECT("'"&amp;A46&amp;"'!$D$15")</f>
        <v>No</v>
      </c>
      <c r="V46" t="str" cm="1">
        <f t="array" aca="1" ref="V46" ca="1">INDIRECT("'"&amp;A46&amp;"'!$D$16")</f>
        <v>Not specified</v>
      </c>
    </row>
    <row r="47" spans="1:22" ht="17">
      <c r="A47" s="1" t="s">
        <v>135</v>
      </c>
      <c r="B47" s="1" t="str">
        <f>VLOOKUP(A47,'Total &amp; sector scores'!A18:B68,2,FALSE)</f>
        <v>Mechanical engineering</v>
      </c>
      <c r="C47" s="24" t="str" cm="1">
        <f t="array" aca="1" ref="C47" ca="1">INDIRECT("'"&amp;A47&amp;"'!$D$18")</f>
        <v>Yes</v>
      </c>
      <c r="D47" s="67" t="str" cm="1">
        <f t="array" aca="1" ref="D47" ca="1">INDIRECT("'"&amp;A47&amp;"'!$D$19")</f>
        <v>Yes</v>
      </c>
      <c r="E47" s="24" t="str" cm="1">
        <f t="array" aca="1" ref="E47" ca="1">INDIRECT("'"&amp;A47&amp;"'!$D$20")</f>
        <v>Limited assurance, Reasonable assurance</v>
      </c>
      <c r="F47" s="37" t="str" cm="1">
        <f t="array" aca="1" ref="F47" ca="1">INDIRECT("'"&amp;A47&amp;"'!$D$21")</f>
        <v>Yes</v>
      </c>
      <c r="G47" s="46"/>
      <c r="H47" s="45" t="str" cm="1">
        <f t="array" aca="1" ref="H47" ca="1">INDIRECT("'"&amp;A47&amp;"'!$D$5")</f>
        <v>Own website, Central database</v>
      </c>
      <c r="I47" s="1" t="str" cm="1">
        <f t="array" aca="1" ref="I47" ca="1">INDIRECT("'"&amp;A47&amp;"'!$D$6")</f>
        <v>PDF (text based)</v>
      </c>
      <c r="J47" s="54" t="str" cm="1">
        <f t="array" aca="1" ref="J47" ca="1">INDIRECT("'"&amp;A47&amp;"'!$D$7")</f>
        <v>Yes</v>
      </c>
      <c r="K47" s="24"/>
      <c r="L47" s="45" t="str" cm="1">
        <f t="array" aca="1" ref="L47" ca="1">INDIRECT("'"&amp;A47&amp;"'!$D$8")</f>
        <v>No</v>
      </c>
      <c r="M47" s="56" t="str" cm="1">
        <f t="array" aca="1" ref="M47" ca="1">INDIRECT("'"&amp;A47&amp;"'!$D$9")</f>
        <v>Library with current documents</v>
      </c>
      <c r="N47" s="1"/>
      <c r="O47" s="44" t="str" cm="1">
        <f t="array" aca="1" ref="O47" ca="1">INDIRECT("'"&amp;A47&amp;"'!$D$10")</f>
        <v>No</v>
      </c>
      <c r="P47" t="str" cm="1">
        <f t="array" aca="1" ref="P47" ca="1">INDIRECT("'"&amp;A47&amp;"'!$D$11")</f>
        <v>Yes</v>
      </c>
      <c r="Q47" s="1" t="str" cm="1">
        <f t="array" aca="1" ref="Q47" ca="1">INDIRECT("'"&amp;A47&amp;"'!$D$12")</f>
        <v>Yes</v>
      </c>
      <c r="R47" s="37" t="str" cm="1">
        <f t="array" aca="1" ref="R47" ca="1">INDIRECT("'"&amp;A47&amp;"'!$D$13")</f>
        <v>CSRD (ESRS)</v>
      </c>
      <c r="S47" s="60" t="str" cm="1">
        <f t="array" aca="1" ref="S47" ca="1">INDIRECT("'"&amp;A47&amp;"'!$D$14")</f>
        <v>Alongside disclosures (in line or on the same page), Other</v>
      </c>
      <c r="T47" s="48"/>
      <c r="U47" t="str" cm="1">
        <f t="array" aca="1" ref="U47" ca="1">INDIRECT("'"&amp;A47&amp;"'!$D$15")</f>
        <v>No</v>
      </c>
      <c r="V47" t="str" cm="1">
        <f t="array" aca="1" ref="V47" ca="1">INDIRECT("'"&amp;A47&amp;"'!$D$16")</f>
        <v>Not specified</v>
      </c>
    </row>
    <row r="48" spans="1:22" ht="34">
      <c r="A48" s="1" t="s">
        <v>29</v>
      </c>
      <c r="B48" s="1" t="str">
        <f>VLOOKUP(A48,'Total &amp; sector scores'!A19:B69,2,FALSE)</f>
        <v>Electrical</v>
      </c>
      <c r="C48" s="24" t="str" cm="1">
        <f t="array" aca="1" ref="C48" ca="1">INDIRECT("'"&amp;A48&amp;"'!$D$18")</f>
        <v>Yes</v>
      </c>
      <c r="D48" s="67" t="str" cm="1">
        <f t="array" aca="1" ref="D48" ca="1">INDIRECT("'"&amp;A48&amp;"'!$D$19")</f>
        <v>No</v>
      </c>
      <c r="E48" s="24" t="str" cm="1">
        <f t="array" aca="1" ref="E48" ca="1">INDIRECT("'"&amp;A48&amp;"'!$D$20")</f>
        <v>No assurance given</v>
      </c>
      <c r="F48" s="37" t="str" cm="1">
        <f t="array" aca="1" ref="F48" ca="1">INDIRECT("'"&amp;A48&amp;"'!$D$21")</f>
        <v>No</v>
      </c>
      <c r="G48" s="46"/>
      <c r="H48" s="45" t="str" cm="1">
        <f t="array" aca="1" ref="H48" ca="1">INDIRECT("'"&amp;A48&amp;"'!$D$5")</f>
        <v>Own website</v>
      </c>
      <c r="I48" s="1" t="str" cm="1">
        <f t="array" aca="1" ref="I48" ca="1">INDIRECT("'"&amp;A48&amp;"'!$D$6")</f>
        <v>PDF (text based)</v>
      </c>
      <c r="J48" s="54" t="str" cm="1">
        <f t="array" aca="1" ref="J48" ca="1">INDIRECT("'"&amp;A48&amp;"'!$D$7")</f>
        <v>No</v>
      </c>
      <c r="K48" s="24"/>
      <c r="L48" s="45" t="str" cm="1">
        <f t="array" aca="1" ref="L48" ca="1">INDIRECT("'"&amp;A48&amp;"'!$D$8")</f>
        <v>No</v>
      </c>
      <c r="M48" s="56" t="str" cm="1">
        <f t="array" aca="1" ref="M48" ca="1">INDIRECT("'"&amp;A48&amp;"'!$D$9")</f>
        <v>No</v>
      </c>
      <c r="N48" s="1"/>
      <c r="O48" s="44" t="str" cm="1">
        <f t="array" aca="1" ref="O48" ca="1">INDIRECT("'"&amp;A48&amp;"'!$D$10")</f>
        <v>Company Registration Number/ID</v>
      </c>
      <c r="P48" t="str" cm="1">
        <f t="array" aca="1" ref="P48" ca="1">INDIRECT("'"&amp;A48&amp;"'!$D$11")</f>
        <v>Yes</v>
      </c>
      <c r="Q48" s="1" t="str" cm="1">
        <f t="array" aca="1" ref="Q48" ca="1">INDIRECT("'"&amp;A48&amp;"'!$D$12")</f>
        <v>Yes</v>
      </c>
      <c r="R48" s="37" t="str" cm="1">
        <f t="array" aca="1" ref="R48" ca="1">INDIRECT("'"&amp;A48&amp;"'!$D$13")</f>
        <v>CSRD (ESRS), Greenhouse Gas Protocol, National standards</v>
      </c>
      <c r="S48" s="60" t="str" cm="1">
        <f t="array" aca="1" ref="S48" ca="1">INDIRECT("'"&amp;A48&amp;"'!$D$14")</f>
        <v>Alongside disclosures (in line or on the same page), Index with page references</v>
      </c>
      <c r="T48" s="48"/>
      <c r="U48" t="str" cm="1">
        <f t="array" aca="1" ref="U48" ca="1">INDIRECT("'"&amp;A48&amp;"'!$D$15")</f>
        <v>No</v>
      </c>
      <c r="V48" t="str" cm="1">
        <f t="array" aca="1" ref="V48" ca="1">INDIRECT("'"&amp;A48&amp;"'!$D$16")</f>
        <v>Not specified</v>
      </c>
    </row>
    <row r="49" spans="1:22" ht="17">
      <c r="A49" s="1" t="s">
        <v>1412</v>
      </c>
      <c r="B49" s="1" t="str">
        <f>VLOOKUP(A49,'Total &amp; sector scores'!A20:B70,2,FALSE)</f>
        <v>Military and defense</v>
      </c>
      <c r="C49" s="24" t="str" cm="1">
        <f t="array" aca="1" ref="C49" ca="1">INDIRECT("'"&amp;A49&amp;"'!$D$18")</f>
        <v>No</v>
      </c>
      <c r="D49" s="67" t="str" cm="1">
        <f t="array" aca="1" ref="D49" ca="1">INDIRECT("'"&amp;A49&amp;"'!$D$19")</f>
        <v>No</v>
      </c>
      <c r="E49" s="24" t="str" cm="1">
        <f t="array" aca="1" ref="E49" ca="1">INDIRECT("'"&amp;A49&amp;"'!$D$20")</f>
        <v>No assurance given</v>
      </c>
      <c r="F49" s="37" t="str" cm="1">
        <f t="array" aca="1" ref="F49" ca="1">INDIRECT("'"&amp;A49&amp;"'!$D$21")</f>
        <v>Yes</v>
      </c>
      <c r="G49" s="46"/>
      <c r="H49" s="45" t="str" cm="1">
        <f t="array" aca="1" ref="H49" ca="1">INDIRECT("'"&amp;A49&amp;"'!$D$5")</f>
        <v>Own website</v>
      </c>
      <c r="I49" s="1" t="str" cm="1">
        <f t="array" aca="1" ref="I49" ca="1">INDIRECT("'"&amp;A49&amp;"'!$D$6")</f>
        <v>PDF (text based)</v>
      </c>
      <c r="J49" s="54" t="str" cm="1">
        <f t="array" aca="1" ref="J49" ca="1">INDIRECT("'"&amp;A49&amp;"'!$D$7")</f>
        <v>No</v>
      </c>
      <c r="K49" s="24"/>
      <c r="L49" s="45" t="str" cm="1">
        <f t="array" aca="1" ref="L49" ca="1">INDIRECT("'"&amp;A49&amp;"'!$D$8")</f>
        <v>No</v>
      </c>
      <c r="M49" s="56" t="str" cm="1">
        <f t="array" aca="1" ref="M49" ca="1">INDIRECT("'"&amp;A49&amp;"'!$D$9")</f>
        <v>Library with current documents</v>
      </c>
      <c r="N49" s="1"/>
      <c r="O49" s="44" t="str" cm="1">
        <f t="array" aca="1" ref="O49" ca="1">INDIRECT("'"&amp;A49&amp;"'!$D$10")</f>
        <v>No</v>
      </c>
      <c r="P49" t="str" cm="1">
        <f t="array" aca="1" ref="P49" ca="1">INDIRECT("'"&amp;A49&amp;"'!$D$11")</f>
        <v>No</v>
      </c>
      <c r="Q49" s="1" t="str" cm="1">
        <f t="array" aca="1" ref="Q49" ca="1">INDIRECT("'"&amp;A49&amp;"'!$D$12")</f>
        <v>Yes</v>
      </c>
      <c r="R49" s="37" t="str" cm="1">
        <f t="array" aca="1" ref="R49" ca="1">INDIRECT("'"&amp;A49&amp;"'!$D$13")</f>
        <v>None</v>
      </c>
      <c r="S49" s="60" t="str" cm="1">
        <f t="array" aca="1" ref="S49" ca="1">INDIRECT("'"&amp;A49&amp;"'!$D$14")</f>
        <v>No</v>
      </c>
      <c r="T49" s="48"/>
      <c r="U49" t="str" cm="1">
        <f t="array" aca="1" ref="U49" ca="1">INDIRECT("'"&amp;A49&amp;"'!$D$15")</f>
        <v>No</v>
      </c>
      <c r="V49" t="str" cm="1">
        <f t="array" aca="1" ref="V49" ca="1">INDIRECT("'"&amp;A49&amp;"'!$D$16")</f>
        <v>Not specified</v>
      </c>
    </row>
    <row r="50" spans="1:22" ht="17">
      <c r="A50" s="1" t="s">
        <v>187</v>
      </c>
      <c r="B50" s="1" t="str">
        <f>VLOOKUP(A50,'Total &amp; sector scores'!A21:B71,2,FALSE)</f>
        <v>Automotive</v>
      </c>
      <c r="C50" s="24" t="str" cm="1">
        <f t="array" aca="1" ref="C50" ca="1">INDIRECT("'"&amp;A50&amp;"'!$D$18")</f>
        <v>Yes</v>
      </c>
      <c r="D50" s="67" t="str" cm="1">
        <f t="array" aca="1" ref="D50" ca="1">INDIRECT("'"&amp;A50&amp;"'!$D$19")</f>
        <v>No</v>
      </c>
      <c r="E50" s="24" t="str" cm="1">
        <f t="array" aca="1" ref="E50" ca="1">INDIRECT("'"&amp;A50&amp;"'!$D$20")</f>
        <v>Limited assurance</v>
      </c>
      <c r="F50" s="37" t="str" cm="1">
        <f t="array" aca="1" ref="F50" ca="1">INDIRECT("'"&amp;A50&amp;"'!$D$21")</f>
        <v>Yes</v>
      </c>
      <c r="G50" s="46"/>
      <c r="H50" s="45" t="str" cm="1">
        <f t="array" aca="1" ref="H50" ca="1">INDIRECT("'"&amp;A50&amp;"'!$D$5")</f>
        <v>Own website</v>
      </c>
      <c r="I50" s="1" t="str" cm="1">
        <f t="array" aca="1" ref="I50" ca="1">INDIRECT("'"&amp;A50&amp;"'!$D$6")</f>
        <v>PDF (text based)</v>
      </c>
      <c r="J50" s="54" t="str" cm="1">
        <f t="array" aca="1" ref="J50" ca="1">INDIRECT("'"&amp;A50&amp;"'!$D$7")</f>
        <v>Yes</v>
      </c>
      <c r="K50" s="24"/>
      <c r="L50" s="45" t="str" cm="1">
        <f t="array" aca="1" ref="L50" ca="1">INDIRECT("'"&amp;A50&amp;"'!$D$8")</f>
        <v>No</v>
      </c>
      <c r="M50" s="56" t="str" cm="1">
        <f t="array" aca="1" ref="M50" ca="1">INDIRECT("'"&amp;A50&amp;"'!$D$9")</f>
        <v>Library with current documents</v>
      </c>
      <c r="N50" s="1"/>
      <c r="O50" s="44" t="str" cm="1">
        <f t="array" aca="1" ref="O50" ca="1">INDIRECT("'"&amp;A50&amp;"'!$D$10")</f>
        <v>International Securities Identification Number (ISIN)</v>
      </c>
      <c r="P50" t="str" cm="1">
        <f t="array" aca="1" ref="P50" ca="1">INDIRECT("'"&amp;A50&amp;"'!$D$11")</f>
        <v>Yes</v>
      </c>
      <c r="Q50" s="1" t="str" cm="1">
        <f t="array" aca="1" ref="Q50" ca="1">INDIRECT("'"&amp;A50&amp;"'!$D$12")</f>
        <v>Yes</v>
      </c>
      <c r="R50" s="37" t="str" cm="1">
        <f t="array" aca="1" ref="R50" ca="1">INDIRECT("'"&amp;A50&amp;"'!$D$13")</f>
        <v>CSRD (ESRS), Greenhouse Gas Protocol</v>
      </c>
      <c r="S50" s="60" t="str" cm="1">
        <f t="array" aca="1" ref="S50" ca="1">INDIRECT("'"&amp;A50&amp;"'!$D$14")</f>
        <v>Alongside disclosures (in line or on the same page), Index with page references</v>
      </c>
      <c r="T50" s="48"/>
      <c r="U50" t="str" cm="1">
        <f t="array" aca="1" ref="U50" ca="1">INDIRECT("'"&amp;A50&amp;"'!$D$15")</f>
        <v>No</v>
      </c>
      <c r="V50" t="str" cm="1">
        <f t="array" aca="1" ref="V50" ca="1">INDIRECT("'"&amp;A50&amp;"'!$D$16")</f>
        <v>Not specified</v>
      </c>
    </row>
    <row r="51" spans="1:22" ht="17">
      <c r="A51" s="1" t="s">
        <v>132</v>
      </c>
      <c r="B51" s="1" t="str">
        <f>VLOOKUP(A51,'Total &amp; sector scores'!A22:B72,2,FALSE)</f>
        <v>Chemical</v>
      </c>
      <c r="C51" s="24" t="str" cm="1">
        <f t="array" aca="1" ref="C51" ca="1">INDIRECT("'"&amp;A51&amp;"'!$D$18")</f>
        <v>Yes</v>
      </c>
      <c r="D51" s="67" t="str" cm="1">
        <f t="array" aca="1" ref="D51" ca="1">INDIRECT("'"&amp;A51&amp;"'!$D$19")</f>
        <v>No</v>
      </c>
      <c r="E51" s="24" t="str" cm="1">
        <f t="array" aca="1" ref="E51" ca="1">INDIRECT("'"&amp;A51&amp;"'!$D$20")</f>
        <v>No assurance given</v>
      </c>
      <c r="F51" s="37" t="str" cm="1">
        <f t="array" aca="1" ref="F51" ca="1">INDIRECT("'"&amp;A51&amp;"'!$D$21")</f>
        <v>Yes</v>
      </c>
      <c r="G51" s="46"/>
      <c r="H51" s="45" t="str" cm="1">
        <f t="array" aca="1" ref="H51" ca="1">INDIRECT("'"&amp;A51&amp;"'!$D$5")</f>
        <v>Own website</v>
      </c>
      <c r="I51" s="1" t="str" cm="1">
        <f t="array" aca="1" ref="I51" ca="1">INDIRECT("'"&amp;A51&amp;"'!$D$6")</f>
        <v>PDF (text based)</v>
      </c>
      <c r="J51" s="54" t="str" cm="1">
        <f t="array" aca="1" ref="J51" ca="1">INDIRECT("'"&amp;A51&amp;"'!$D$7")</f>
        <v>No</v>
      </c>
      <c r="K51" s="24"/>
      <c r="L51" s="45" t="str" cm="1">
        <f t="array" aca="1" ref="L51" ca="1">INDIRECT("'"&amp;A51&amp;"'!$D$8")</f>
        <v>No</v>
      </c>
      <c r="M51" s="56" t="str" cm="1">
        <f t="array" aca="1" ref="M51" ca="1">INDIRECT("'"&amp;A51&amp;"'!$D$9")</f>
        <v>No</v>
      </c>
      <c r="N51" s="1"/>
      <c r="O51" s="44" t="str" cm="1">
        <f t="array" aca="1" ref="O51" ca="1">INDIRECT("'"&amp;A51&amp;"'!$D$10")</f>
        <v>No</v>
      </c>
      <c r="P51" t="str" cm="1">
        <f t="array" aca="1" ref="P51" ca="1">INDIRECT("'"&amp;A51&amp;"'!$D$11")</f>
        <v>No</v>
      </c>
      <c r="Q51" s="1" t="str" cm="1">
        <f t="array" aca="1" ref="Q51" ca="1">INDIRECT("'"&amp;A51&amp;"'!$D$12")</f>
        <v>No</v>
      </c>
      <c r="R51" s="37" t="str" cm="1">
        <f t="array" aca="1" ref="R51" ca="1">INDIRECT("'"&amp;A51&amp;"'!$D$13")</f>
        <v>CSRD (ESRS)</v>
      </c>
      <c r="S51" s="60" t="str" cm="1">
        <f t="array" aca="1" ref="S51" ca="1">INDIRECT("'"&amp;A51&amp;"'!$D$14")</f>
        <v>Alongside disclosures (in line or on the same page), Index with page references</v>
      </c>
      <c r="T51" s="48"/>
      <c r="U51" t="str" cm="1">
        <f t="array" aca="1" ref="U51" ca="1">INDIRECT("'"&amp;A51&amp;"'!$D$15")</f>
        <v>No</v>
      </c>
      <c r="V51" t="str" cm="1">
        <f t="array" aca="1" ref="V51" ca="1">INDIRECT("'"&amp;A51&amp;"'!$D$16")</f>
        <v>Not specified</v>
      </c>
    </row>
    <row r="52" spans="1:22" ht="34">
      <c r="A52" s="1" t="s">
        <v>172</v>
      </c>
      <c r="B52" s="1" t="str">
        <f>VLOOKUP(A52,'Total &amp; sector scores'!A23:B73,2,FALSE)</f>
        <v>Chemical</v>
      </c>
      <c r="C52" s="24" t="str" cm="1">
        <f t="array" aca="1" ref="C52" ca="1">INDIRECT("'"&amp;A52&amp;"'!$D$18")</f>
        <v>Yes</v>
      </c>
      <c r="D52" s="67" t="str" cm="1">
        <f t="array" aca="1" ref="D52" ca="1">INDIRECT("'"&amp;A52&amp;"'!$D$19")</f>
        <v>No</v>
      </c>
      <c r="E52" s="24" t="str" cm="1">
        <f t="array" aca="1" ref="E52" ca="1">INDIRECT("'"&amp;A52&amp;"'!$D$20")</f>
        <v>Limited assurance</v>
      </c>
      <c r="F52" s="37" t="str" cm="1">
        <f t="array" aca="1" ref="F52" ca="1">INDIRECT("'"&amp;A52&amp;"'!$D$21")</f>
        <v>Yes</v>
      </c>
      <c r="G52" s="46"/>
      <c r="H52" s="45" t="str" cm="1">
        <f t="array" aca="1" ref="H52" ca="1">INDIRECT("'"&amp;A52&amp;"'!$D$5")</f>
        <v>Own website</v>
      </c>
      <c r="I52" s="1" t="str" cm="1">
        <f t="array" aca="1" ref="I52" ca="1">INDIRECT("'"&amp;A52&amp;"'!$D$6")</f>
        <v>PDF (text based)</v>
      </c>
      <c r="J52" s="54" t="str" cm="1">
        <f t="array" aca="1" ref="J52" ca="1">INDIRECT("'"&amp;A52&amp;"'!$D$7")</f>
        <v>Yes</v>
      </c>
      <c r="K52" s="24"/>
      <c r="L52" s="45" t="str" cm="1">
        <f t="array" aca="1" ref="L52" ca="1">INDIRECT("'"&amp;A52&amp;"'!$D$8")</f>
        <v>No</v>
      </c>
      <c r="M52" s="56" t="str" cm="1">
        <f t="array" aca="1" ref="M52" ca="1">INDIRECT("'"&amp;A52&amp;"'!$D$9")</f>
        <v>Library with current documents</v>
      </c>
      <c r="N52" s="1"/>
      <c r="O52" s="44" t="str" cm="1">
        <f t="array" aca="1" ref="O52" ca="1">INDIRECT("'"&amp;A52&amp;"'!$D$10")</f>
        <v>No</v>
      </c>
      <c r="P52" t="str" cm="1">
        <f t="array" aca="1" ref="P52" ca="1">INDIRECT("'"&amp;A52&amp;"'!$D$11")</f>
        <v>Yes</v>
      </c>
      <c r="Q52" s="1" t="str" cm="1">
        <f t="array" aca="1" ref="Q52" ca="1">INDIRECT("'"&amp;A52&amp;"'!$D$12")</f>
        <v>Yes</v>
      </c>
      <c r="R52" s="37" t="str" cm="1">
        <f t="array" aca="1" ref="R52" ca="1">INDIRECT("'"&amp;A52&amp;"'!$D$13")</f>
        <v>GRI Standards, ISSB (IFRS), SASB, CSRD (ESRS), CDP, Greenhouse Gas Protocol, Other</v>
      </c>
      <c r="S52" s="60" t="str" cm="1">
        <f t="array" aca="1" ref="S52" ca="1">INDIRECT("'"&amp;A52&amp;"'!$D$14")</f>
        <v>Alongside disclosures (in line or on the same page), Index with page references</v>
      </c>
      <c r="T52" s="48"/>
      <c r="U52" t="str" cm="1">
        <f t="array" aca="1" ref="U52" ca="1">INDIRECT("'"&amp;A52&amp;"'!$D$15")</f>
        <v>No</v>
      </c>
      <c r="V52" t="str" cm="1">
        <f t="array" aca="1" ref="V52" ca="1">INDIRECT("'"&amp;A52&amp;"'!$D$16")</f>
        <v>Not specified</v>
      </c>
    </row>
    <row r="53" spans="1:22" ht="34">
      <c r="A53" s="1" t="s">
        <v>208</v>
      </c>
      <c r="B53" s="1" t="str">
        <f>VLOOKUP(A53,'Total &amp; sector scores'!A24:B74,2,FALSE)</f>
        <v>Military and defense</v>
      </c>
      <c r="C53" s="24" t="str" cm="1">
        <f t="array" aca="1" ref="C53" ca="1">INDIRECT("'"&amp;A53&amp;"'!$D$18")</f>
        <v>Yes</v>
      </c>
      <c r="D53" s="67" t="str" cm="1">
        <f t="array" aca="1" ref="D53" ca="1">INDIRECT("'"&amp;A53&amp;"'!$D$19")</f>
        <v>Yes</v>
      </c>
      <c r="E53" s="24" t="str" cm="1">
        <f t="array" aca="1" ref="E53" ca="1">INDIRECT("'"&amp;A53&amp;"'!$D$20")</f>
        <v>No assurance given</v>
      </c>
      <c r="F53" s="37" t="str" cm="1">
        <f t="array" aca="1" ref="F53" ca="1">INDIRECT("'"&amp;A53&amp;"'!$D$21")</f>
        <v>Yes</v>
      </c>
      <c r="G53" s="46"/>
      <c r="H53" s="45" t="str" cm="1">
        <f t="array" aca="1" ref="H53" ca="1">INDIRECT("'"&amp;A53&amp;"'!$D$5")</f>
        <v>Own website</v>
      </c>
      <c r="I53" s="1" t="str" cm="1">
        <f t="array" aca="1" ref="I53" ca="1">INDIRECT("'"&amp;A53&amp;"'!$D$6")</f>
        <v>PDF (text based)</v>
      </c>
      <c r="J53" s="54" t="str" cm="1">
        <f t="array" aca="1" ref="J53" ca="1">INDIRECT("'"&amp;A53&amp;"'!$D$7")</f>
        <v>Yes</v>
      </c>
      <c r="K53" s="24"/>
      <c r="L53" s="45" t="str" cm="1">
        <f t="array" aca="1" ref="L53" ca="1">INDIRECT("'"&amp;A53&amp;"'!$D$8")</f>
        <v>No</v>
      </c>
      <c r="M53" s="56" t="str" cm="1">
        <f t="array" aca="1" ref="M53" ca="1">INDIRECT("'"&amp;A53&amp;"'!$D$9")</f>
        <v>Library with current documents</v>
      </c>
      <c r="N53" s="1"/>
      <c r="O53" s="44" t="str" cm="1">
        <f t="array" aca="1" ref="O53" ca="1">INDIRECT("'"&amp;A53&amp;"'!$D$10")</f>
        <v>Company Registration Number/ID</v>
      </c>
      <c r="P53" t="str" cm="1">
        <f t="array" aca="1" ref="P53" ca="1">INDIRECT("'"&amp;A53&amp;"'!$D$11")</f>
        <v>Yes</v>
      </c>
      <c r="Q53" s="1" t="str" cm="1">
        <f t="array" aca="1" ref="Q53" ca="1">INDIRECT("'"&amp;A53&amp;"'!$D$12")</f>
        <v>Yes</v>
      </c>
      <c r="R53" s="37" t="str" cm="1">
        <f t="array" aca="1" ref="R53" ca="1">INDIRECT("'"&amp;A53&amp;"'!$D$13")</f>
        <v>CSRD (ESRS), Greenhouse Gas Protocol, National standards</v>
      </c>
      <c r="S53" s="60" t="str" cm="1">
        <f t="array" aca="1" ref="S53" ca="1">INDIRECT("'"&amp;A53&amp;"'!$D$14")</f>
        <v>Alongside disclosures (in line or on the same page), Index with page references</v>
      </c>
      <c r="T53" s="48"/>
      <c r="U53" t="str" cm="1">
        <f t="array" aca="1" ref="U53" ca="1">INDIRECT("'"&amp;A53&amp;"'!$D$15")</f>
        <v>No</v>
      </c>
      <c r="V53" t="str" cm="1">
        <f t="array" aca="1" ref="V53" ca="1">INDIRECT("'"&amp;A53&amp;"'!$D$16")</f>
        <v>Not specified</v>
      </c>
    </row>
    <row r="54" spans="1:22" ht="17">
      <c r="A54" s="1" t="s">
        <v>123</v>
      </c>
      <c r="B54" s="1" t="str">
        <f>VLOOKUP(A54,'Total &amp; sector scores'!A25:B75,2,FALSE)</f>
        <v>Military and defense</v>
      </c>
      <c r="C54" s="24" t="str" cm="1">
        <f t="array" aca="1" ref="C54" ca="1">INDIRECT("'"&amp;A54&amp;"'!$D$18")</f>
        <v>Yes</v>
      </c>
      <c r="D54" s="67" t="str" cm="1">
        <f t="array" aca="1" ref="D54" ca="1">INDIRECT("'"&amp;A54&amp;"'!$D$19")</f>
        <v>No</v>
      </c>
      <c r="E54" s="24" t="str" cm="1">
        <f t="array" aca="1" ref="E54" ca="1">INDIRECT("'"&amp;A54&amp;"'!$D$20")</f>
        <v>Limited assurance</v>
      </c>
      <c r="F54" s="37" t="str" cm="1">
        <f t="array" aca="1" ref="F54" ca="1">INDIRECT("'"&amp;A54&amp;"'!$D$21")</f>
        <v>Yes</v>
      </c>
      <c r="G54" s="46"/>
      <c r="H54" s="45" t="str" cm="1">
        <f t="array" aca="1" ref="H54" ca="1">INDIRECT("'"&amp;A54&amp;"'!$D$5")</f>
        <v>Own website, Central database</v>
      </c>
      <c r="I54" s="1" t="str" cm="1">
        <f t="array" aca="1" ref="I54" ca="1">INDIRECT("'"&amp;A54&amp;"'!$D$6")</f>
        <v>PDF (text based)</v>
      </c>
      <c r="J54" s="54" t="str" cm="1">
        <f t="array" aca="1" ref="J54" ca="1">INDIRECT("'"&amp;A54&amp;"'!$D$7")</f>
        <v>Yes</v>
      </c>
      <c r="K54" s="24"/>
      <c r="L54" s="45" t="str" cm="1">
        <f t="array" aca="1" ref="L54" ca="1">INDIRECT("'"&amp;A54&amp;"'!$D$8")</f>
        <v>No</v>
      </c>
      <c r="M54" s="56" t="str" cm="1">
        <f t="array" aca="1" ref="M54" ca="1">INDIRECT("'"&amp;A54&amp;"'!$D$9")</f>
        <v>Library with current documents</v>
      </c>
      <c r="N54" s="1"/>
      <c r="O54" s="44" t="str" cm="1">
        <f t="array" aca="1" ref="O54" ca="1">INDIRECT("'"&amp;A54&amp;"'!$D$10")</f>
        <v>No</v>
      </c>
      <c r="P54" t="str" cm="1">
        <f t="array" aca="1" ref="P54" ca="1">INDIRECT("'"&amp;A54&amp;"'!$D$11")</f>
        <v>Yes</v>
      </c>
      <c r="Q54" s="1" t="str" cm="1">
        <f t="array" aca="1" ref="Q54" ca="1">INDIRECT("'"&amp;A54&amp;"'!$D$12")</f>
        <v>Yes</v>
      </c>
      <c r="R54" s="37" t="str" cm="1">
        <f t="array" aca="1" ref="R54" ca="1">INDIRECT("'"&amp;A54&amp;"'!$D$13")</f>
        <v>CSRD (ESRS)</v>
      </c>
      <c r="S54" s="60" t="str" cm="1">
        <f t="array" aca="1" ref="S54" ca="1">INDIRECT("'"&amp;A54&amp;"'!$D$14")</f>
        <v>Index with page references</v>
      </c>
      <c r="T54" s="48"/>
      <c r="U54" t="str" cm="1">
        <f t="array" aca="1" ref="U54" ca="1">INDIRECT("'"&amp;A54&amp;"'!$D$15")</f>
        <v>No</v>
      </c>
      <c r="V54" t="str" cm="1">
        <f t="array" aca="1" ref="V54" ca="1">INDIRECT("'"&amp;A54&amp;"'!$D$16")</f>
        <v>Not specified</v>
      </c>
    </row>
    <row r="55" spans="1:22" ht="17">
      <c r="A55" s="1" t="s">
        <v>155</v>
      </c>
      <c r="B55" s="1" t="str">
        <f>VLOOKUP(A55,'Total &amp; sector scores'!A26:B76,2,FALSE)</f>
        <v>Mechanical engineering</v>
      </c>
      <c r="C55" s="24" t="str" cm="1">
        <f t="array" aca="1" ref="C55" ca="1">INDIRECT("'"&amp;A55&amp;"'!$D$18")</f>
        <v>Yes</v>
      </c>
      <c r="D55" s="67" t="str" cm="1">
        <f t="array" aca="1" ref="D55" ca="1">INDIRECT("'"&amp;A55&amp;"'!$D$19")</f>
        <v>No</v>
      </c>
      <c r="E55" s="24" t="str" cm="1">
        <f t="array" aca="1" ref="E55" ca="1">INDIRECT("'"&amp;A55&amp;"'!$D$20")</f>
        <v>Limited assurance</v>
      </c>
      <c r="F55" s="37" t="str" cm="1">
        <f t="array" aca="1" ref="F55" ca="1">INDIRECT("'"&amp;A55&amp;"'!$D$21")</f>
        <v>No</v>
      </c>
      <c r="G55" s="46"/>
      <c r="H55" s="45" t="str" cm="1">
        <f t="array" aca="1" ref="H55" ca="1">INDIRECT("'"&amp;A55&amp;"'!$D$5")</f>
        <v>Own website, Central database</v>
      </c>
      <c r="I55" s="1" t="str" cm="1">
        <f t="array" aca="1" ref="I55" ca="1">INDIRECT("'"&amp;A55&amp;"'!$D$6")</f>
        <v>PDF (text based)</v>
      </c>
      <c r="J55" s="54" t="str" cm="1">
        <f t="array" aca="1" ref="J55" ca="1">INDIRECT("'"&amp;A55&amp;"'!$D$7")</f>
        <v>No</v>
      </c>
      <c r="K55" s="24"/>
      <c r="L55" s="45" t="str" cm="1">
        <f t="array" aca="1" ref="L55" ca="1">INDIRECT("'"&amp;A55&amp;"'!$D$8")</f>
        <v>No</v>
      </c>
      <c r="M55" s="56" t="str" cm="1">
        <f t="array" aca="1" ref="M55" ca="1">INDIRECT("'"&amp;A55&amp;"'!$D$9")</f>
        <v>No</v>
      </c>
      <c r="N55" s="1"/>
      <c r="O55" s="44" t="str" cm="1">
        <f t="array" aca="1" ref="O55" ca="1">INDIRECT("'"&amp;A55&amp;"'!$D$10")</f>
        <v>Company Registration Number/ID</v>
      </c>
      <c r="P55" t="str" cm="1">
        <f t="array" aca="1" ref="P55" ca="1">INDIRECT("'"&amp;A55&amp;"'!$D$11")</f>
        <v>Yes</v>
      </c>
      <c r="Q55" s="1" t="str" cm="1">
        <f t="array" aca="1" ref="Q55" ca="1">INDIRECT("'"&amp;A55&amp;"'!$D$12")</f>
        <v>No</v>
      </c>
      <c r="R55" s="37" t="str" cm="1">
        <f t="array" aca="1" ref="R55" ca="1">INDIRECT("'"&amp;A55&amp;"'!$D$13")</f>
        <v>CSRD (ESRS), Greenhouse Gas Protocol, Other</v>
      </c>
      <c r="S55" s="60" t="str" cm="1">
        <f t="array" aca="1" ref="S55" ca="1">INDIRECT("'"&amp;A55&amp;"'!$D$14")</f>
        <v>Index with page references</v>
      </c>
      <c r="T55" s="48"/>
      <c r="U55" t="str" cm="1">
        <f t="array" aca="1" ref="U55" ca="1">INDIRECT("'"&amp;A55&amp;"'!$D$15")</f>
        <v>No</v>
      </c>
      <c r="V55" t="str" cm="1">
        <f t="array" aca="1" ref="V55" ca="1">INDIRECT("'"&amp;A55&amp;"'!$D$16")</f>
        <v>Not specified</v>
      </c>
    </row>
    <row r="56" spans="1:22" ht="17">
      <c r="A56" s="1" t="s">
        <v>65</v>
      </c>
      <c r="B56" s="1" t="str">
        <f>VLOOKUP(A56,'Total &amp; sector scores'!A27:B77,2,FALSE)</f>
        <v>Mechanical engineering</v>
      </c>
      <c r="C56" s="24" t="str" cm="1">
        <f t="array" aca="1" ref="C56" ca="1">INDIRECT("'"&amp;A56&amp;"'!$D$18")</f>
        <v>Yes</v>
      </c>
      <c r="D56" s="67" t="str" cm="1">
        <f t="array" aca="1" ref="D56" ca="1">INDIRECT("'"&amp;A56&amp;"'!$D$19")</f>
        <v>No</v>
      </c>
      <c r="E56" s="24" t="str" cm="1">
        <f t="array" aca="1" ref="E56" ca="1">INDIRECT("'"&amp;A56&amp;"'!$D$20")</f>
        <v>Limited assurance</v>
      </c>
      <c r="F56" s="37" t="str" cm="1">
        <f t="array" aca="1" ref="F56" ca="1">INDIRECT("'"&amp;A56&amp;"'!$D$21")</f>
        <v>Yes</v>
      </c>
      <c r="G56" s="46"/>
      <c r="H56" s="45" t="str" cm="1">
        <f t="array" aca="1" ref="H56" ca="1">INDIRECT("'"&amp;A56&amp;"'!$D$5")</f>
        <v>Own website, Central database</v>
      </c>
      <c r="I56" s="1" t="str" cm="1">
        <f t="array" aca="1" ref="I56" ca="1">INDIRECT("'"&amp;A56&amp;"'!$D$6")</f>
        <v>PDF (text based), Spreadsheet</v>
      </c>
      <c r="J56" s="54" t="str" cm="1">
        <f t="array" aca="1" ref="J56" ca="1">INDIRECT("'"&amp;A56&amp;"'!$D$7")</f>
        <v>Yes</v>
      </c>
      <c r="K56" s="24"/>
      <c r="L56" s="45" t="str" cm="1">
        <f t="array" aca="1" ref="L56" ca="1">INDIRECT("'"&amp;A56&amp;"'!$D$8")</f>
        <v>No</v>
      </c>
      <c r="M56" s="56" t="str" cm="1">
        <f t="array" aca="1" ref="M56" ca="1">INDIRECT("'"&amp;A56&amp;"'!$D$9")</f>
        <v>No</v>
      </c>
      <c r="N56" s="1"/>
      <c r="O56" s="44" t="str" cm="1">
        <f t="array" aca="1" ref="O56" ca="1">INDIRECT("'"&amp;A56&amp;"'!$D$10")</f>
        <v>Company Registration Number/ID</v>
      </c>
      <c r="P56" t="str" cm="1">
        <f t="array" aca="1" ref="P56" ca="1">INDIRECT("'"&amp;A56&amp;"'!$D$11")</f>
        <v>Yes</v>
      </c>
      <c r="Q56" s="1" t="str" cm="1">
        <f t="array" aca="1" ref="Q56" ca="1">INDIRECT("'"&amp;A56&amp;"'!$D$12")</f>
        <v>Yes</v>
      </c>
      <c r="R56" s="37" t="str" cm="1">
        <f t="array" aca="1" ref="R56" ca="1">INDIRECT("'"&amp;A56&amp;"'!$D$13")</f>
        <v>CSRD (ESRS), CDP, Greenhouse Gas Protocol</v>
      </c>
      <c r="S56" s="60" t="str" cm="1">
        <f t="array" aca="1" ref="S56" ca="1">INDIRECT("'"&amp;A56&amp;"'!$D$14")</f>
        <v>Index with page references</v>
      </c>
      <c r="T56" s="48"/>
      <c r="U56" t="str" cm="1">
        <f t="array" aca="1" ref="U56" ca="1">INDIRECT("'"&amp;A56&amp;"'!$D$15")</f>
        <v>No</v>
      </c>
      <c r="V56" t="str" cm="1">
        <f t="array" aca="1" ref="V56" ca="1">INDIRECT("'"&amp;A56&amp;"'!$D$16")</f>
        <v>Not specified</v>
      </c>
    </row>
    <row r="57" spans="1:22" ht="17">
      <c r="A57" s="1" t="s">
        <v>42</v>
      </c>
      <c r="B57" s="1" t="str">
        <f>VLOOKUP(A57,'Total &amp; sector scores'!A28:B78,2,FALSE)</f>
        <v>Military and defense</v>
      </c>
      <c r="C57" s="24" t="str" cm="1">
        <f t="array" aca="1" ref="C57" ca="1">INDIRECT("'"&amp;A57&amp;"'!$D$18")</f>
        <v>No</v>
      </c>
      <c r="D57" s="67" t="str" cm="1">
        <f t="array" aca="1" ref="D57" ca="1">INDIRECT("'"&amp;A57&amp;"'!$D$19")</f>
        <v>No</v>
      </c>
      <c r="E57" s="24" t="str" cm="1">
        <f t="array" aca="1" ref="E57" ca="1">INDIRECT("'"&amp;A57&amp;"'!$D$20")</f>
        <v>No assurance given</v>
      </c>
      <c r="F57" s="37" t="str" cm="1">
        <f t="array" aca="1" ref="F57" ca="1">INDIRECT("'"&amp;A57&amp;"'!$D$21")</f>
        <v>No</v>
      </c>
      <c r="G57" s="46"/>
      <c r="H57" s="45" t="str" cm="1">
        <f t="array" aca="1" ref="H57" ca="1">INDIRECT("'"&amp;A57&amp;"'!$D$5")</f>
        <v>Nowhere</v>
      </c>
      <c r="I57" s="1" t="str" cm="1">
        <f t="array" aca="1" ref="I57" ca="1">INDIRECT("'"&amp;A57&amp;"'!$D$6")</f>
        <v>No report available</v>
      </c>
      <c r="J57" s="54" t="str" cm="1">
        <f t="array" aca="1" ref="J57" ca="1">INDIRECT("'"&amp;A57&amp;"'!$D$7")</f>
        <v>No</v>
      </c>
      <c r="K57" s="24"/>
      <c r="L57" s="45" t="str" cm="1">
        <f t="array" aca="1" ref="L57" ca="1">INDIRECT("'"&amp;A57&amp;"'!$D$8")</f>
        <v>No</v>
      </c>
      <c r="M57" s="56" t="str" cm="1">
        <f t="array" aca="1" ref="M57" ca="1">INDIRECT("'"&amp;A57&amp;"'!$D$9")</f>
        <v>No</v>
      </c>
      <c r="N57" s="1"/>
      <c r="O57" s="44" t="str" cm="1">
        <f t="array" aca="1" ref="O57" ca="1">INDIRECT("'"&amp;A57&amp;"'!$D$10")</f>
        <v>No</v>
      </c>
      <c r="P57" t="str" cm="1">
        <f t="array" aca="1" ref="P57" ca="1">INDIRECT("'"&amp;A57&amp;"'!$D$11")</f>
        <v>No</v>
      </c>
      <c r="Q57" s="1" t="str" cm="1">
        <f t="array" aca="1" ref="Q57" ca="1">INDIRECT("'"&amp;A57&amp;"'!$D$12")</f>
        <v>No</v>
      </c>
      <c r="R57" s="37" t="str" cm="1">
        <f t="array" aca="1" ref="R57" ca="1">INDIRECT("'"&amp;A57&amp;"'!$D$13")</f>
        <v>None</v>
      </c>
      <c r="S57" s="60" t="str" cm="1">
        <f t="array" aca="1" ref="S57" ca="1">INDIRECT("'"&amp;A57&amp;"'!$D$14")</f>
        <v>No</v>
      </c>
      <c r="T57" s="48"/>
      <c r="U57" t="str" cm="1">
        <f t="array" aca="1" ref="U57" ca="1">INDIRECT("'"&amp;A57&amp;"'!$D$15")</f>
        <v>No</v>
      </c>
      <c r="V57" t="str" cm="1">
        <f t="array" aca="1" ref="V57" ca="1">INDIRECT("'"&amp;A57&amp;"'!$D$16")</f>
        <v>Not specified</v>
      </c>
    </row>
    <row r="58" spans="1:22" ht="17">
      <c r="A58" s="1" t="s">
        <v>168</v>
      </c>
      <c r="B58" s="1" t="str">
        <f>VLOOKUP(A58,'Total &amp; sector scores'!A29:B79,2,FALSE)</f>
        <v>Mechanical engineering</v>
      </c>
      <c r="C58" s="24" t="str" cm="1">
        <f t="array" aca="1" ref="C58" ca="1">INDIRECT("'"&amp;A58&amp;"'!$D$18")</f>
        <v>Yes</v>
      </c>
      <c r="D58" s="67" t="str" cm="1">
        <f t="array" aca="1" ref="D58" ca="1">INDIRECT("'"&amp;A58&amp;"'!$D$19")</f>
        <v>No</v>
      </c>
      <c r="E58" s="24" t="str" cm="1">
        <f t="array" aca="1" ref="E58" ca="1">INDIRECT("'"&amp;A58&amp;"'!$D$20")</f>
        <v>Limited assurance</v>
      </c>
      <c r="F58" s="37" t="str" cm="1">
        <f t="array" aca="1" ref="F58" ca="1">INDIRECT("'"&amp;A58&amp;"'!$D$21")</f>
        <v>Yes</v>
      </c>
      <c r="G58" s="46"/>
      <c r="H58" s="45" t="str" cm="1">
        <f t="array" aca="1" ref="H58" ca="1">INDIRECT("'"&amp;A58&amp;"'!$D$5")</f>
        <v>Own website, Central database</v>
      </c>
      <c r="I58" s="1" t="str" cm="1">
        <f t="array" aca="1" ref="I58" ca="1">INDIRECT("'"&amp;A58&amp;"'!$D$6")</f>
        <v>PDF (text based), Web HTML page</v>
      </c>
      <c r="J58" s="54" t="str" cm="1">
        <f t="array" aca="1" ref="J58" ca="1">INDIRECT("'"&amp;A58&amp;"'!$D$7")</f>
        <v>Yes</v>
      </c>
      <c r="K58" s="24"/>
      <c r="L58" s="45" t="str" cm="1">
        <f t="array" aca="1" ref="L58" ca="1">INDIRECT("'"&amp;A58&amp;"'!$D$8")</f>
        <v>No</v>
      </c>
      <c r="M58" s="56" t="str" cm="1">
        <f t="array" aca="1" ref="M58" ca="1">INDIRECT("'"&amp;A58&amp;"'!$D$9")</f>
        <v>Library with current documents</v>
      </c>
      <c r="N58" s="1"/>
      <c r="O58" s="44" t="str" cm="1">
        <f t="array" aca="1" ref="O58" ca="1">INDIRECT("'"&amp;A58&amp;"'!$D$10")</f>
        <v>No</v>
      </c>
      <c r="P58" t="str" cm="1">
        <f t="array" aca="1" ref="P58" ca="1">INDIRECT("'"&amp;A58&amp;"'!$D$11")</f>
        <v>Yes</v>
      </c>
      <c r="Q58" s="1" t="str" cm="1">
        <f t="array" aca="1" ref="Q58" ca="1">INDIRECT("'"&amp;A58&amp;"'!$D$12")</f>
        <v>No</v>
      </c>
      <c r="R58" s="37" t="str" cm="1">
        <f t="array" aca="1" ref="R58" ca="1">INDIRECT("'"&amp;A58&amp;"'!$D$13")</f>
        <v>ISSB (IFRS), CSRD (ESRS), Greenhouse Gas Protocol</v>
      </c>
      <c r="S58" s="60" t="str" cm="1">
        <f t="array" aca="1" ref="S58" ca="1">INDIRECT("'"&amp;A58&amp;"'!$D$14")</f>
        <v>Index with page references</v>
      </c>
      <c r="T58" s="48"/>
      <c r="U58" t="str" cm="1">
        <f t="array" aca="1" ref="U58" ca="1">INDIRECT("'"&amp;A58&amp;"'!$D$15")</f>
        <v>No</v>
      </c>
      <c r="V58" t="str" cm="1">
        <f t="array" aca="1" ref="V58" ca="1">INDIRECT("'"&amp;A58&amp;"'!$D$16")</f>
        <v>Not specified</v>
      </c>
    </row>
    <row r="59" spans="1:22" ht="17">
      <c r="A59" s="1" t="s">
        <v>194</v>
      </c>
      <c r="B59" s="1" t="str">
        <f>VLOOKUP(A59,'Total &amp; sector scores'!A30:B80,2,FALSE)</f>
        <v>Chemical</v>
      </c>
      <c r="C59" s="24" t="str" cm="1">
        <f t="array" aca="1" ref="C59" ca="1">INDIRECT("'"&amp;A59&amp;"'!$D$18")</f>
        <v>Yes</v>
      </c>
      <c r="D59" s="67" t="str" cm="1">
        <f t="array" aca="1" ref="D59" ca="1">INDIRECT("'"&amp;A59&amp;"'!$D$19")</f>
        <v>No</v>
      </c>
      <c r="E59" s="24" t="str" cm="1">
        <f t="array" aca="1" ref="E59" ca="1">INDIRECT("'"&amp;A59&amp;"'!$D$20")</f>
        <v>Reasonable assurance</v>
      </c>
      <c r="F59" s="37" t="str" cm="1">
        <f t="array" aca="1" ref="F59" ca="1">INDIRECT("'"&amp;A59&amp;"'!$D$21")</f>
        <v>Yes</v>
      </c>
      <c r="G59" s="46"/>
      <c r="H59" s="45" t="str" cm="1">
        <f t="array" aca="1" ref="H59" ca="1">INDIRECT("'"&amp;A59&amp;"'!$D$5")</f>
        <v>Own website, Central database</v>
      </c>
      <c r="I59" s="1" t="str" cm="1">
        <f t="array" aca="1" ref="I59" ca="1">INDIRECT("'"&amp;A59&amp;"'!$D$6")</f>
        <v>PDF (text based)</v>
      </c>
      <c r="J59" s="54" t="str" cm="1">
        <f t="array" aca="1" ref="J59" ca="1">INDIRECT("'"&amp;A59&amp;"'!$D$7")</f>
        <v>Yes</v>
      </c>
      <c r="K59" s="24"/>
      <c r="L59" s="45" t="str" cm="1">
        <f t="array" aca="1" ref="L59" ca="1">INDIRECT("'"&amp;A59&amp;"'!$D$8")</f>
        <v>No</v>
      </c>
      <c r="M59" s="56" t="str" cm="1">
        <f t="array" aca="1" ref="M59" ca="1">INDIRECT("'"&amp;A59&amp;"'!$D$9")</f>
        <v>Library with current documents</v>
      </c>
      <c r="N59" s="1"/>
      <c r="O59" s="44" t="str" cm="1">
        <f t="array" aca="1" ref="O59" ca="1">INDIRECT("'"&amp;A59&amp;"'!$D$10")</f>
        <v>No</v>
      </c>
      <c r="P59" t="str" cm="1">
        <f t="array" aca="1" ref="P59" ca="1">INDIRECT("'"&amp;A59&amp;"'!$D$11")</f>
        <v>Yes</v>
      </c>
      <c r="Q59" s="1" t="str" cm="1">
        <f t="array" aca="1" ref="Q59" ca="1">INDIRECT("'"&amp;A59&amp;"'!$D$12")</f>
        <v>No</v>
      </c>
      <c r="R59" s="37" t="str" cm="1">
        <f t="array" aca="1" ref="R59" ca="1">INDIRECT("'"&amp;A59&amp;"'!$D$13")</f>
        <v>CSRD (ESRS)</v>
      </c>
      <c r="S59" s="60" t="str" cm="1">
        <f t="array" aca="1" ref="S59" ca="1">INDIRECT("'"&amp;A59&amp;"'!$D$14")</f>
        <v>Index with page references</v>
      </c>
      <c r="T59" s="48"/>
      <c r="U59" t="str" cm="1">
        <f t="array" aca="1" ref="U59" ca="1">INDIRECT("'"&amp;A59&amp;"'!$D$15")</f>
        <v>No</v>
      </c>
      <c r="V59" t="str" cm="1">
        <f t="array" aca="1" ref="V59" ca="1">INDIRECT("'"&amp;A59&amp;"'!$D$16")</f>
        <v>Not specified</v>
      </c>
    </row>
    <row r="60" spans="1:22" ht="17">
      <c r="A60" s="1" t="s">
        <v>33</v>
      </c>
      <c r="B60" s="1" t="str">
        <f>VLOOKUP(A60,'Total &amp; sector scores'!A31:B81,2,FALSE)</f>
        <v>Military and defense</v>
      </c>
      <c r="C60" s="24" t="str" cm="1">
        <f t="array" aca="1" ref="C60" ca="1">INDIRECT("'"&amp;A60&amp;"'!$D$18")</f>
        <v>Yes</v>
      </c>
      <c r="D60" s="67" t="str" cm="1">
        <f t="array" aca="1" ref="D60" ca="1">INDIRECT("'"&amp;A60&amp;"'!$D$19")</f>
        <v>Yes</v>
      </c>
      <c r="E60" s="24" t="str" cm="1">
        <f t="array" aca="1" ref="E60" ca="1">INDIRECT("'"&amp;A60&amp;"'!$D$20")</f>
        <v>Limited assurance</v>
      </c>
      <c r="F60" s="37" t="str" cm="1">
        <f t="array" aca="1" ref="F60" ca="1">INDIRECT("'"&amp;A60&amp;"'!$D$21")</f>
        <v>Yes</v>
      </c>
      <c r="G60" s="46"/>
      <c r="H60" s="45" t="str" cm="1">
        <f t="array" aca="1" ref="H60" ca="1">INDIRECT("'"&amp;A60&amp;"'!$D$5")</f>
        <v>Own website, Central database</v>
      </c>
      <c r="I60" s="1" t="str" cm="1">
        <f t="array" aca="1" ref="I60" ca="1">INDIRECT("'"&amp;A60&amp;"'!$D$6")</f>
        <v>PDF (text based)</v>
      </c>
      <c r="J60" s="54" t="str" cm="1">
        <f t="array" aca="1" ref="J60" ca="1">INDIRECT("'"&amp;A60&amp;"'!$D$7")</f>
        <v>Yes</v>
      </c>
      <c r="K60" s="24"/>
      <c r="L60" s="45" t="str" cm="1">
        <f t="array" aca="1" ref="L60" ca="1">INDIRECT("'"&amp;A60&amp;"'!$D$8")</f>
        <v>No</v>
      </c>
      <c r="M60" s="56" t="str" cm="1">
        <f t="array" aca="1" ref="M60" ca="1">INDIRECT("'"&amp;A60&amp;"'!$D$9")</f>
        <v>No</v>
      </c>
      <c r="N60" s="1"/>
      <c r="O60" s="44" t="str" cm="1">
        <f t="array" aca="1" ref="O60" ca="1">INDIRECT("'"&amp;A60&amp;"'!$D$10")</f>
        <v>No</v>
      </c>
      <c r="P60" t="str" cm="1">
        <f t="array" aca="1" ref="P60" ca="1">INDIRECT("'"&amp;A60&amp;"'!$D$11")</f>
        <v>Yes</v>
      </c>
      <c r="Q60" s="1" t="str" cm="1">
        <f t="array" aca="1" ref="Q60" ca="1">INDIRECT("'"&amp;A60&amp;"'!$D$12")</f>
        <v>No</v>
      </c>
      <c r="R60" s="37" t="str" cm="1">
        <f t="array" aca="1" ref="R60" ca="1">INDIRECT("'"&amp;A60&amp;"'!$D$13")</f>
        <v>SASB, CSRD (ESRS)</v>
      </c>
      <c r="S60" s="60" t="str" cm="1">
        <f t="array" aca="1" ref="S60" ca="1">INDIRECT("'"&amp;A60&amp;"'!$D$14")</f>
        <v>No</v>
      </c>
      <c r="T60" s="48"/>
      <c r="U60" t="str" cm="1">
        <f t="array" aca="1" ref="U60" ca="1">INDIRECT("'"&amp;A60&amp;"'!$D$15")</f>
        <v>No</v>
      </c>
      <c r="V60" t="str" cm="1">
        <f t="array" aca="1" ref="V60" ca="1">INDIRECT("'"&amp;A60&amp;"'!$D$16")</f>
        <v>Not specified</v>
      </c>
    </row>
    <row r="61" spans="1:22" ht="34">
      <c r="A61" s="1" t="s">
        <v>38</v>
      </c>
      <c r="B61" s="1" t="str">
        <f>VLOOKUP(A61,'Total &amp; sector scores'!A32:B82,2,FALSE)</f>
        <v>Military and defense</v>
      </c>
      <c r="C61" s="24" t="str" cm="1">
        <f t="array" aca="1" ref="C61" ca="1">INDIRECT("'"&amp;A61&amp;"'!$D$18")</f>
        <v>Yes</v>
      </c>
      <c r="D61" s="67" t="str" cm="1">
        <f t="array" aca="1" ref="D61" ca="1">INDIRECT("'"&amp;A61&amp;"'!$D$19")</f>
        <v>No</v>
      </c>
      <c r="E61" s="24" t="str" cm="1">
        <f t="array" aca="1" ref="E61" ca="1">INDIRECT("'"&amp;A61&amp;"'!$D$20")</f>
        <v>Limited assurance</v>
      </c>
      <c r="F61" s="37" t="str" cm="1">
        <f t="array" aca="1" ref="F61" ca="1">INDIRECT("'"&amp;A61&amp;"'!$D$21")</f>
        <v>No</v>
      </c>
      <c r="G61" s="46"/>
      <c r="H61" s="45" t="str" cm="1">
        <f t="array" aca="1" ref="H61" ca="1">INDIRECT("'"&amp;A61&amp;"'!$D$5")</f>
        <v>Own website, Central database</v>
      </c>
      <c r="I61" s="1" t="str" cm="1">
        <f t="array" aca="1" ref="I61" ca="1">INDIRECT("'"&amp;A61&amp;"'!$D$6")</f>
        <v>PDF (text based), Web HTML page</v>
      </c>
      <c r="J61" s="54" t="str" cm="1">
        <f t="array" aca="1" ref="J61" ca="1">INDIRECT("'"&amp;A61&amp;"'!$D$7")</f>
        <v>No</v>
      </c>
      <c r="K61" s="24"/>
      <c r="L61" s="45" t="str" cm="1">
        <f t="array" aca="1" ref="L61" ca="1">INDIRECT("'"&amp;A61&amp;"'!$D$8")</f>
        <v>Yes</v>
      </c>
      <c r="M61" s="56" t="str" cm="1">
        <f t="array" aca="1" ref="M61" ca="1">INDIRECT("'"&amp;A61&amp;"'!$D$9")</f>
        <v>Archive with current and historic documents</v>
      </c>
      <c r="N61" s="1"/>
      <c r="O61" s="44" t="str" cm="1">
        <f t="array" aca="1" ref="O61" ca="1">INDIRECT("'"&amp;A61&amp;"'!$D$10")</f>
        <v>No</v>
      </c>
      <c r="P61" t="str" cm="1">
        <f t="array" aca="1" ref="P61" ca="1">INDIRECT("'"&amp;A61&amp;"'!$D$11")</f>
        <v>Yes</v>
      </c>
      <c r="Q61" s="1" t="str" cm="1">
        <f t="array" aca="1" ref="Q61" ca="1">INDIRECT("'"&amp;A61&amp;"'!$D$12")</f>
        <v>Yes</v>
      </c>
      <c r="R61" s="37" t="str" cm="1">
        <f t="array" aca="1" ref="R61" ca="1">INDIRECT("'"&amp;A61&amp;"'!$D$13")</f>
        <v>GRI Standards, SASB, CDP, Greenhouse Gas Protocol, Other</v>
      </c>
      <c r="S61" s="60" t="str" cm="1">
        <f t="array" aca="1" ref="S61" ca="1">INDIRECT("'"&amp;A61&amp;"'!$D$14")</f>
        <v>Alongside disclosures (in line or on the same page)</v>
      </c>
      <c r="T61" s="48"/>
      <c r="U61" t="str" cm="1">
        <f t="array" aca="1" ref="U61" ca="1">INDIRECT("'"&amp;A61&amp;"'!$D$15")</f>
        <v>Yes</v>
      </c>
      <c r="V61" t="str" cm="1">
        <f t="array" aca="1" ref="V61" ca="1">INDIRECT("'"&amp;A61&amp;"'!$D$16")</f>
        <v>Closed license</v>
      </c>
    </row>
    <row r="62" spans="1:22" ht="17">
      <c r="A62" s="1" t="s">
        <v>142</v>
      </c>
      <c r="B62" s="1" t="str">
        <f>VLOOKUP(A62,'Total &amp; sector scores'!A33:B83,2,FALSE)</f>
        <v>Automotive</v>
      </c>
      <c r="C62" s="24" t="str" cm="1">
        <f t="array" aca="1" ref="C62" ca="1">INDIRECT("'"&amp;A62&amp;"'!$D$18")</f>
        <v>No</v>
      </c>
      <c r="D62" s="67" t="str" cm="1">
        <f t="array" aca="1" ref="D62" ca="1">INDIRECT("'"&amp;A62&amp;"'!$D$19")</f>
        <v>No</v>
      </c>
      <c r="E62" s="24" t="str" cm="1">
        <f t="array" aca="1" ref="E62" ca="1">INDIRECT("'"&amp;A62&amp;"'!$D$20")</f>
        <v>Limited assurance</v>
      </c>
      <c r="F62" s="37" t="str" cm="1">
        <f t="array" aca="1" ref="F62" ca="1">INDIRECT("'"&amp;A62&amp;"'!$D$21")</f>
        <v>Yes</v>
      </c>
      <c r="G62" s="46"/>
      <c r="H62" s="45" t="str" cm="1">
        <f t="array" aca="1" ref="H62" ca="1">INDIRECT("'"&amp;A62&amp;"'!$D$5")</f>
        <v>Own website</v>
      </c>
      <c r="I62" s="1" t="str" cm="1">
        <f t="array" aca="1" ref="I62" ca="1">INDIRECT("'"&amp;A62&amp;"'!$D$6")</f>
        <v>PDF (text based)</v>
      </c>
      <c r="J62" s="54" t="str" cm="1">
        <f t="array" aca="1" ref="J62" ca="1">INDIRECT("'"&amp;A62&amp;"'!$D$7")</f>
        <v>Yes</v>
      </c>
      <c r="K62" s="24"/>
      <c r="L62" s="45" t="str" cm="1">
        <f t="array" aca="1" ref="L62" ca="1">INDIRECT("'"&amp;A62&amp;"'!$D$8")</f>
        <v>No</v>
      </c>
      <c r="M62" s="56" t="str" cm="1">
        <f t="array" aca="1" ref="M62" ca="1">INDIRECT("'"&amp;A62&amp;"'!$D$9")</f>
        <v>Library with current documents</v>
      </c>
      <c r="N62" s="1"/>
      <c r="O62" s="44" t="str" cm="1">
        <f t="array" aca="1" ref="O62" ca="1">INDIRECT("'"&amp;A62&amp;"'!$D$10")</f>
        <v>No</v>
      </c>
      <c r="P62" t="str" cm="1">
        <f t="array" aca="1" ref="P62" ca="1">INDIRECT("'"&amp;A62&amp;"'!$D$11")</f>
        <v>Yes</v>
      </c>
      <c r="Q62" s="1" t="str" cm="1">
        <f t="array" aca="1" ref="Q62" ca="1">INDIRECT("'"&amp;A62&amp;"'!$D$12")</f>
        <v>Yes</v>
      </c>
      <c r="R62" s="37" t="str" cm="1">
        <f t="array" aca="1" ref="R62" ca="1">INDIRECT("'"&amp;A62&amp;"'!$D$13")</f>
        <v>GRI Standards, CDP</v>
      </c>
      <c r="S62" s="60" t="str" cm="1">
        <f t="array" aca="1" ref="S62" ca="1">INDIRECT("'"&amp;A62&amp;"'!$D$14")</f>
        <v>Index with page references</v>
      </c>
      <c r="T62" s="48"/>
      <c r="U62" t="str" cm="1">
        <f t="array" aca="1" ref="U62" ca="1">INDIRECT("'"&amp;A62&amp;"'!$D$15")</f>
        <v>No</v>
      </c>
      <c r="V62" t="str" cm="1">
        <f t="array" aca="1" ref="V62" ca="1">INDIRECT("'"&amp;A62&amp;"'!$D$16")</f>
        <v>Not specified</v>
      </c>
    </row>
    <row r="63" spans="1:22" ht="17">
      <c r="A63" s="1" t="s">
        <v>102</v>
      </c>
      <c r="B63" s="1" t="str">
        <f>VLOOKUP(A63,'Total &amp; sector scores'!A34:B84,2,FALSE)</f>
        <v>Automotive</v>
      </c>
      <c r="C63" s="24" t="str" cm="1">
        <f t="array" aca="1" ref="C63" ca="1">INDIRECT("'"&amp;A63&amp;"'!$D$18")</f>
        <v>Yes</v>
      </c>
      <c r="D63" s="67" t="str" cm="1">
        <f t="array" aca="1" ref="D63" ca="1">INDIRECT("'"&amp;A63&amp;"'!$D$19")</f>
        <v>Yes</v>
      </c>
      <c r="E63" s="24" t="str" cm="1">
        <f t="array" aca="1" ref="E63" ca="1">INDIRECT("'"&amp;A63&amp;"'!$D$20")</f>
        <v>Limited assurance</v>
      </c>
      <c r="F63" s="37" t="str" cm="1">
        <f t="array" aca="1" ref="F63" ca="1">INDIRECT("'"&amp;A63&amp;"'!$D$21")</f>
        <v>Yes</v>
      </c>
      <c r="G63" s="46"/>
      <c r="H63" s="45" t="str" cm="1">
        <f t="array" aca="1" ref="H63" ca="1">INDIRECT("'"&amp;A63&amp;"'!$D$5")</f>
        <v>Own website, Central database</v>
      </c>
      <c r="I63" s="1" t="str" cm="1">
        <f t="array" aca="1" ref="I63" ca="1">INDIRECT("'"&amp;A63&amp;"'!$D$6")</f>
        <v>PDF (text based)</v>
      </c>
      <c r="J63" s="54" t="str" cm="1">
        <f t="array" aca="1" ref="J63" ca="1">INDIRECT("'"&amp;A63&amp;"'!$D$7")</f>
        <v>Yes</v>
      </c>
      <c r="K63" s="24"/>
      <c r="L63" s="45" t="str" cm="1">
        <f t="array" aca="1" ref="L63" ca="1">INDIRECT("'"&amp;A63&amp;"'!$D$8")</f>
        <v>No</v>
      </c>
      <c r="M63" s="56" t="str" cm="1">
        <f t="array" aca="1" ref="M63" ca="1">INDIRECT("'"&amp;A63&amp;"'!$D$9")</f>
        <v>Library with current documents</v>
      </c>
      <c r="N63" s="1"/>
      <c r="O63" s="44" t="str" cm="1">
        <f t="array" aca="1" ref="O63" ca="1">INDIRECT("'"&amp;A63&amp;"'!$D$10")</f>
        <v>Company Registration Number/ID</v>
      </c>
      <c r="P63" t="str" cm="1">
        <f t="array" aca="1" ref="P63" ca="1">INDIRECT("'"&amp;A63&amp;"'!$D$11")</f>
        <v>Yes</v>
      </c>
      <c r="Q63" s="1" t="str" cm="1">
        <f t="array" aca="1" ref="Q63" ca="1">INDIRECT("'"&amp;A63&amp;"'!$D$12")</f>
        <v>Yes</v>
      </c>
      <c r="R63" s="37" t="str" cm="1">
        <f t="array" aca="1" ref="R63" ca="1">INDIRECT("'"&amp;A63&amp;"'!$D$13")</f>
        <v>CSRD (ESRS), Greenhouse Gas Protocol</v>
      </c>
      <c r="S63" s="60" t="str" cm="1">
        <f t="array" aca="1" ref="S63" ca="1">INDIRECT("'"&amp;A63&amp;"'!$D$14")</f>
        <v>Index with page references</v>
      </c>
      <c r="T63" s="48"/>
      <c r="U63" t="str" cm="1">
        <f t="array" aca="1" ref="U63" ca="1">INDIRECT("'"&amp;A63&amp;"'!$D$15")</f>
        <v>No</v>
      </c>
      <c r="V63" t="str" cm="1">
        <f t="array" aca="1" ref="V63" ca="1">INDIRECT("'"&amp;A63&amp;"'!$D$16")</f>
        <v>Not specified</v>
      </c>
    </row>
    <row r="64" spans="1:22" ht="34">
      <c r="A64" s="1" t="s">
        <v>49</v>
      </c>
      <c r="B64" s="1" t="str">
        <f>VLOOKUP(A64,'Total &amp; sector scores'!A35:B85,2,FALSE)</f>
        <v>Chemical</v>
      </c>
      <c r="C64" s="24" t="str" cm="1">
        <f t="array" aca="1" ref="C64" ca="1">INDIRECT("'"&amp;A64&amp;"'!$D$18")</f>
        <v>Yes</v>
      </c>
      <c r="D64" s="67" t="str" cm="1">
        <f t="array" aca="1" ref="D64" ca="1">INDIRECT("'"&amp;A64&amp;"'!$D$19")</f>
        <v>No</v>
      </c>
      <c r="E64" s="24" t="str" cm="1">
        <f t="array" aca="1" ref="E64" ca="1">INDIRECT("'"&amp;A64&amp;"'!$D$20")</f>
        <v>Limited assurance</v>
      </c>
      <c r="F64" s="37" t="str" cm="1">
        <f t="array" aca="1" ref="F64" ca="1">INDIRECT("'"&amp;A64&amp;"'!$D$21")</f>
        <v>Yes</v>
      </c>
      <c r="G64" s="46"/>
      <c r="H64" s="45" t="str" cm="1">
        <f t="array" aca="1" ref="H64" ca="1">INDIRECT("'"&amp;A64&amp;"'!$D$5")</f>
        <v>Own website</v>
      </c>
      <c r="I64" s="1" t="str" cm="1">
        <f t="array" aca="1" ref="I64" ca="1">INDIRECT("'"&amp;A64&amp;"'!$D$6")</f>
        <v>PDF (text based), Web HTML page</v>
      </c>
      <c r="J64" s="54" t="str" cm="1">
        <f t="array" aca="1" ref="J64" ca="1">INDIRECT("'"&amp;A64&amp;"'!$D$7")</f>
        <v>Yes</v>
      </c>
      <c r="K64" s="24"/>
      <c r="L64" s="45" t="str" cm="1">
        <f t="array" aca="1" ref="L64" ca="1">INDIRECT("'"&amp;A64&amp;"'!$D$8")</f>
        <v>Yes</v>
      </c>
      <c r="M64" s="56" t="str" cm="1">
        <f t="array" aca="1" ref="M64" ca="1">INDIRECT("'"&amp;A64&amp;"'!$D$9")</f>
        <v>Library with current documents</v>
      </c>
      <c r="N64" s="1"/>
      <c r="O64" s="44" t="str" cm="1">
        <f t="array" aca="1" ref="O64" ca="1">INDIRECT("'"&amp;A64&amp;"'!$D$10")</f>
        <v>No</v>
      </c>
      <c r="P64" t="str" cm="1">
        <f t="array" aca="1" ref="P64" ca="1">INDIRECT("'"&amp;A64&amp;"'!$D$11")</f>
        <v>Yes</v>
      </c>
      <c r="Q64" s="1" t="str" cm="1">
        <f t="array" aca="1" ref="Q64" ca="1">INDIRECT("'"&amp;A64&amp;"'!$D$12")</f>
        <v>Yes</v>
      </c>
      <c r="R64" s="37" t="str" cm="1">
        <f t="array" aca="1" ref="R64" ca="1">INDIRECT("'"&amp;A64&amp;"'!$D$13")</f>
        <v>GRI Standards, SASB, CSRD (ESRS), CDP, Greenhouse Gas Protocol, Other</v>
      </c>
      <c r="S64" s="60" t="str" cm="1">
        <f t="array" aca="1" ref="S64" ca="1">INDIRECT("'"&amp;A64&amp;"'!$D$14")</f>
        <v>Alongside disclosures (in line or on the same page), Index with page references</v>
      </c>
      <c r="T64" s="48"/>
      <c r="U64" t="str" cm="1">
        <f t="array" aca="1" ref="U64" ca="1">INDIRECT("'"&amp;A64&amp;"'!$D$15")</f>
        <v>No</v>
      </c>
      <c r="V64" t="str" cm="1">
        <f t="array" aca="1" ref="V64" ca="1">INDIRECT("'"&amp;A64&amp;"'!$D$16")</f>
        <v>Not specified</v>
      </c>
    </row>
    <row r="65" spans="1:22" ht="17">
      <c r="A65" s="1" t="s">
        <v>79</v>
      </c>
      <c r="B65" s="1" t="str">
        <f>VLOOKUP(A65,'Total &amp; sector scores'!A36:B86,2,FALSE)</f>
        <v>Military and defense</v>
      </c>
      <c r="C65" s="24" t="str" cm="1">
        <f t="array" aca="1" ref="C65" ca="1">INDIRECT("'"&amp;A65&amp;"'!$D$18")</f>
        <v>Yes</v>
      </c>
      <c r="D65" s="67" t="str" cm="1">
        <f t="array" aca="1" ref="D65" ca="1">INDIRECT("'"&amp;A65&amp;"'!$D$19")</f>
        <v>No</v>
      </c>
      <c r="E65" s="24" t="str" cm="1">
        <f t="array" aca="1" ref="E65" ca="1">INDIRECT("'"&amp;A65&amp;"'!$D$20")</f>
        <v>Limited assurance</v>
      </c>
      <c r="F65" s="37" t="str" cm="1">
        <f t="array" aca="1" ref="F65" ca="1">INDIRECT("'"&amp;A65&amp;"'!$D$21")</f>
        <v>Yes</v>
      </c>
      <c r="G65" s="46"/>
      <c r="H65" s="45" t="str" cm="1">
        <f t="array" aca="1" ref="H65" ca="1">INDIRECT("'"&amp;A65&amp;"'!$D$5")</f>
        <v>Central database</v>
      </c>
      <c r="I65" s="1" t="str" cm="1">
        <f t="array" aca="1" ref="I65" ca="1">INDIRECT("'"&amp;A65&amp;"'!$D$6")</f>
        <v>PDF (text based)</v>
      </c>
      <c r="J65" s="54" t="str" cm="1">
        <f t="array" aca="1" ref="J65" ca="1">INDIRECT("'"&amp;A65&amp;"'!$D$7")</f>
        <v>No</v>
      </c>
      <c r="K65" s="24"/>
      <c r="L65" s="45" t="str" cm="1">
        <f t="array" aca="1" ref="L65" ca="1">INDIRECT("'"&amp;A65&amp;"'!$D$8")</f>
        <v>No</v>
      </c>
      <c r="M65" s="56" t="str" cm="1">
        <f t="array" aca="1" ref="M65" ca="1">INDIRECT("'"&amp;A65&amp;"'!$D$9")</f>
        <v>No</v>
      </c>
      <c r="N65" s="1"/>
      <c r="O65" s="44" t="str" cm="1">
        <f t="array" aca="1" ref="O65" ca="1">INDIRECT("'"&amp;A65&amp;"'!$D$10")</f>
        <v>No</v>
      </c>
      <c r="P65" t="str" cm="1">
        <f t="array" aca="1" ref="P65" ca="1">INDIRECT("'"&amp;A65&amp;"'!$D$11")</f>
        <v>Yes</v>
      </c>
      <c r="Q65" s="1" t="str" cm="1">
        <f t="array" aca="1" ref="Q65" ca="1">INDIRECT("'"&amp;A65&amp;"'!$D$12")</f>
        <v>Yes</v>
      </c>
      <c r="R65" s="37" t="str" cm="1">
        <f t="array" aca="1" ref="R65" ca="1">INDIRECT("'"&amp;A65&amp;"'!$D$13")</f>
        <v>CSRD (ESRS), Greenhouse Gas Protocol</v>
      </c>
      <c r="S65" s="60" t="str" cm="1">
        <f t="array" aca="1" ref="S65" ca="1">INDIRECT("'"&amp;A65&amp;"'!$D$14")</f>
        <v>Alongside disclosures (in line or on the same page)</v>
      </c>
      <c r="T65" s="48"/>
      <c r="U65" t="str" cm="1">
        <f t="array" aca="1" ref="U65" ca="1">INDIRECT("'"&amp;A65&amp;"'!$D$15")</f>
        <v>No</v>
      </c>
      <c r="V65" t="str" cm="1">
        <f t="array" aca="1" ref="V65" ca="1">INDIRECT("'"&amp;A65&amp;"'!$D$16")</f>
        <v>Not specified</v>
      </c>
    </row>
    <row r="66" spans="1:22" ht="17">
      <c r="A66" s="1" t="s">
        <v>138</v>
      </c>
      <c r="B66" s="1" t="str">
        <f>VLOOKUP(A66,'Total &amp; sector scores'!A37:B87,2,FALSE)</f>
        <v>Automotive</v>
      </c>
      <c r="C66" s="24" t="str" cm="1">
        <f t="array" aca="1" ref="C66" ca="1">INDIRECT("'"&amp;A66&amp;"'!$D$18")</f>
        <v>Yes</v>
      </c>
      <c r="D66" s="67" t="str" cm="1">
        <f t="array" aca="1" ref="D66" ca="1">INDIRECT("'"&amp;A66&amp;"'!$D$19")</f>
        <v>No</v>
      </c>
      <c r="E66" s="24" t="str" cm="1">
        <f t="array" aca="1" ref="E66" ca="1">INDIRECT("'"&amp;A66&amp;"'!$D$20")</f>
        <v>Reasonable assurance</v>
      </c>
      <c r="F66" s="37" t="str" cm="1">
        <f t="array" aca="1" ref="F66" ca="1">INDIRECT("'"&amp;A66&amp;"'!$D$21")</f>
        <v>Yes</v>
      </c>
      <c r="G66" s="46"/>
      <c r="H66" s="45" t="str" cm="1">
        <f t="array" aca="1" ref="H66" ca="1">INDIRECT("'"&amp;A66&amp;"'!$D$5")</f>
        <v>Own website</v>
      </c>
      <c r="I66" s="1" t="str" cm="1">
        <f t="array" aca="1" ref="I66" ca="1">INDIRECT("'"&amp;A66&amp;"'!$D$6")</f>
        <v>PDF (text based)</v>
      </c>
      <c r="J66" s="54" t="str" cm="1">
        <f t="array" aca="1" ref="J66" ca="1">INDIRECT("'"&amp;A66&amp;"'!$D$7")</f>
        <v>Yes</v>
      </c>
      <c r="K66" s="24"/>
      <c r="L66" s="45" t="str" cm="1">
        <f t="array" aca="1" ref="L66" ca="1">INDIRECT("'"&amp;A66&amp;"'!$D$8")</f>
        <v>Yes</v>
      </c>
      <c r="M66" s="56" t="str" cm="1">
        <f t="array" aca="1" ref="M66" ca="1">INDIRECT("'"&amp;A66&amp;"'!$D$9")</f>
        <v>Library with current documents</v>
      </c>
      <c r="N66" s="1"/>
      <c r="O66" s="44" t="str" cm="1">
        <f t="array" aca="1" ref="O66" ca="1">INDIRECT("'"&amp;A66&amp;"'!$D$10")</f>
        <v>No</v>
      </c>
      <c r="P66" t="str" cm="1">
        <f t="array" aca="1" ref="P66" ca="1">INDIRECT("'"&amp;A66&amp;"'!$D$11")</f>
        <v>Yes</v>
      </c>
      <c r="Q66" s="1" t="str" cm="1">
        <f t="array" aca="1" ref="Q66" ca="1">INDIRECT("'"&amp;A66&amp;"'!$D$12")</f>
        <v>Yes</v>
      </c>
      <c r="R66" s="37" t="str" cm="1">
        <f t="array" aca="1" ref="R66" ca="1">INDIRECT("'"&amp;A66&amp;"'!$D$13")</f>
        <v>CSRD (ESRS), Greenhouse Gas Protocol</v>
      </c>
      <c r="S66" s="60" t="str" cm="1">
        <f t="array" aca="1" ref="S66" ca="1">INDIRECT("'"&amp;A66&amp;"'!$D$14")</f>
        <v>Index with page references</v>
      </c>
      <c r="T66" s="48"/>
      <c r="U66" t="str" cm="1">
        <f t="array" aca="1" ref="U66" ca="1">INDIRECT("'"&amp;A66&amp;"'!$D$15")</f>
        <v>No</v>
      </c>
      <c r="V66" t="str" cm="1">
        <f t="array" aca="1" ref="V66" ca="1">INDIRECT("'"&amp;A66&amp;"'!$D$16")</f>
        <v>Not specified</v>
      </c>
    </row>
    <row r="67" spans="1:22" ht="17">
      <c r="A67" s="1" t="s">
        <v>1408</v>
      </c>
      <c r="B67" s="1" t="str">
        <f>VLOOKUP(A67,'Total &amp; sector scores'!A38:B88,2,FALSE)</f>
        <v>Military and defense</v>
      </c>
      <c r="C67" s="24" t="str" cm="1">
        <f t="array" aca="1" ref="C67" ca="1">INDIRECT("'"&amp;A67&amp;"'!$D$18")</f>
        <v>No</v>
      </c>
      <c r="D67" s="67" t="str" cm="1">
        <f t="array" aca="1" ref="D67" ca="1">INDIRECT("'"&amp;A67&amp;"'!$D$19")</f>
        <v>No</v>
      </c>
      <c r="E67" s="24" t="str" cm="1">
        <f t="array" aca="1" ref="E67" ca="1">INDIRECT("'"&amp;A67&amp;"'!$D$20")</f>
        <v>No assurance given</v>
      </c>
      <c r="F67" s="37" t="str" cm="1">
        <f t="array" aca="1" ref="F67" ca="1">INDIRECT("'"&amp;A67&amp;"'!$D$21")</f>
        <v>No</v>
      </c>
      <c r="G67" s="46"/>
      <c r="H67" s="45" t="str" cm="1">
        <f t="array" aca="1" ref="H67" ca="1">INDIRECT("'"&amp;A67&amp;"'!$D$5")</f>
        <v>Own website</v>
      </c>
      <c r="I67" s="1" t="str" cm="1">
        <f t="array" aca="1" ref="I67" ca="1">INDIRECT("'"&amp;A67&amp;"'!$D$6")</f>
        <v>PDF (text based)</v>
      </c>
      <c r="J67" s="54" t="str" cm="1">
        <f t="array" aca="1" ref="J67" ca="1">INDIRECT("'"&amp;A67&amp;"'!$D$7")</f>
        <v>No</v>
      </c>
      <c r="K67" s="24"/>
      <c r="L67" s="45" t="str" cm="1">
        <f t="array" aca="1" ref="L67" ca="1">INDIRECT("'"&amp;A67&amp;"'!$D$8")</f>
        <v>Yes</v>
      </c>
      <c r="M67" s="56" t="str" cm="1">
        <f t="array" aca="1" ref="M67" ca="1">INDIRECT("'"&amp;A67&amp;"'!$D$9")</f>
        <v>Library with current documents</v>
      </c>
      <c r="N67" s="1"/>
      <c r="O67" s="44" t="str" cm="1">
        <f t="array" aca="1" ref="O67" ca="1">INDIRECT("'"&amp;A67&amp;"'!$D$10")</f>
        <v>No</v>
      </c>
      <c r="P67" t="str" cm="1">
        <f t="array" aca="1" ref="P67" ca="1">INDIRECT("'"&amp;A67&amp;"'!$D$11")</f>
        <v>No</v>
      </c>
      <c r="Q67" s="1" t="str" cm="1">
        <f t="array" aca="1" ref="Q67" ca="1">INDIRECT("'"&amp;A67&amp;"'!$D$12")</f>
        <v>Yes</v>
      </c>
      <c r="R67" s="37" t="str" cm="1">
        <f t="array" aca="1" ref="R67" ca="1">INDIRECT("'"&amp;A67&amp;"'!$D$13")</f>
        <v>None</v>
      </c>
      <c r="S67" s="60" t="str" cm="1">
        <f t="array" aca="1" ref="S67" ca="1">INDIRECT("'"&amp;A67&amp;"'!$D$14")</f>
        <v>No</v>
      </c>
      <c r="T67" s="48"/>
      <c r="U67" t="str" cm="1">
        <f t="array" aca="1" ref="U67" ca="1">INDIRECT("'"&amp;A67&amp;"'!$D$15")</f>
        <v>No</v>
      </c>
      <c r="V67" t="str" cm="1">
        <f t="array" aca="1" ref="V67" ca="1">INDIRECT("'"&amp;A67&amp;"'!$D$16")</f>
        <v>Not specified</v>
      </c>
    </row>
    <row r="68" spans="1:22" ht="17">
      <c r="A68" s="1" t="s">
        <v>14</v>
      </c>
      <c r="B68" s="1" t="str">
        <f>VLOOKUP(A68,'Total &amp; sector scores'!A39:B89,2,FALSE)</f>
        <v>Electrical</v>
      </c>
      <c r="C68" s="24" t="str" cm="1">
        <f t="array" aca="1" ref="C68" ca="1">INDIRECT("'"&amp;A68&amp;"'!$D$18")</f>
        <v>Yes</v>
      </c>
      <c r="D68" s="67" t="str" cm="1">
        <f t="array" aca="1" ref="D68" ca="1">INDIRECT("'"&amp;A68&amp;"'!$D$19")</f>
        <v>No</v>
      </c>
      <c r="E68" s="24" t="str" cm="1">
        <f t="array" aca="1" ref="E68" ca="1">INDIRECT("'"&amp;A68&amp;"'!$D$20")</f>
        <v>Limited assurance</v>
      </c>
      <c r="F68" s="37" t="str" cm="1">
        <f t="array" aca="1" ref="F68" ca="1">INDIRECT("'"&amp;A68&amp;"'!$D$21")</f>
        <v>Yes</v>
      </c>
      <c r="G68" s="46"/>
      <c r="H68" s="45" t="str" cm="1">
        <f t="array" aca="1" ref="H68" ca="1">INDIRECT("'"&amp;A68&amp;"'!$D$5")</f>
        <v>Own website, Central database</v>
      </c>
      <c r="I68" s="1" t="str" cm="1">
        <f t="array" aca="1" ref="I68" ca="1">INDIRECT("'"&amp;A68&amp;"'!$D$6")</f>
        <v>PDF (text based)</v>
      </c>
      <c r="J68" s="54" t="str" cm="1">
        <f t="array" aca="1" ref="J68" ca="1">INDIRECT("'"&amp;A68&amp;"'!$D$7")</f>
        <v>Yes</v>
      </c>
      <c r="K68" s="24"/>
      <c r="L68" s="45" t="str" cm="1">
        <f t="array" aca="1" ref="L68" ca="1">INDIRECT("'"&amp;A68&amp;"'!$D$8")</f>
        <v>No</v>
      </c>
      <c r="M68" s="56" t="str" cm="1">
        <f t="array" aca="1" ref="M68" ca="1">INDIRECT("'"&amp;A68&amp;"'!$D$9")</f>
        <v>Library with current documents</v>
      </c>
      <c r="N68" s="1"/>
      <c r="O68" s="44" t="str" cm="1">
        <f t="array" aca="1" ref="O68" ca="1">INDIRECT("'"&amp;A68&amp;"'!$D$10")</f>
        <v>No</v>
      </c>
      <c r="P68" t="str" cm="1">
        <f t="array" aca="1" ref="P68" ca="1">INDIRECT("'"&amp;A68&amp;"'!$D$11")</f>
        <v>Yes</v>
      </c>
      <c r="Q68" s="1" t="str" cm="1">
        <f t="array" aca="1" ref="Q68" ca="1">INDIRECT("'"&amp;A68&amp;"'!$D$12")</f>
        <v>Yes</v>
      </c>
      <c r="R68" s="37" t="str" cm="1">
        <f t="array" aca="1" ref="R68" ca="1">INDIRECT("'"&amp;A68&amp;"'!$D$13")</f>
        <v>CSRD (ESRS), Greenhouse Gas Protocol</v>
      </c>
      <c r="S68" s="60" t="str" cm="1">
        <f t="array" aca="1" ref="S68" ca="1">INDIRECT("'"&amp;A68&amp;"'!$D$14")</f>
        <v>Index with page references</v>
      </c>
      <c r="T68" s="48"/>
      <c r="U68" t="str" cm="1">
        <f t="array" aca="1" ref="U68" ca="1">INDIRECT("'"&amp;A68&amp;"'!$D$15")</f>
        <v>No</v>
      </c>
      <c r="V68" t="str" cm="1">
        <f t="array" aca="1" ref="V68" ca="1">INDIRECT("'"&amp;A68&amp;"'!$D$16")</f>
        <v>Not specified</v>
      </c>
    </row>
    <row r="69" spans="1:22" ht="17">
      <c r="A69" s="3" t="s">
        <v>1618</v>
      </c>
      <c r="B69" s="1" t="str">
        <f>VLOOKUP(A69,'Total &amp; sector scores'!A40:B90,2,FALSE)</f>
        <v>Automotive</v>
      </c>
      <c r="C69" s="24" t="str" cm="1">
        <f t="array" aca="1" ref="C69" ca="1">INDIRECT("'"&amp;A69&amp;"'!$D$18")</f>
        <v>Yes</v>
      </c>
      <c r="D69" s="67" t="str" cm="1">
        <f t="array" aca="1" ref="D69" ca="1">INDIRECT("'"&amp;A69&amp;"'!$D$19")</f>
        <v>No</v>
      </c>
      <c r="E69" s="24" t="str" cm="1">
        <f t="array" aca="1" ref="E69" ca="1">INDIRECT("'"&amp;A69&amp;"'!$D$20")</f>
        <v>Limited assurance</v>
      </c>
      <c r="F69" s="37" t="str" cm="1">
        <f t="array" aca="1" ref="F69" ca="1">INDIRECT("'"&amp;A69&amp;"'!$D$21")</f>
        <v>Yes</v>
      </c>
      <c r="G69" s="46"/>
      <c r="H69" s="45" t="str" cm="1">
        <f t="array" aca="1" ref="H69" ca="1">INDIRECT("'"&amp;A69&amp;"'!$D$5")</f>
        <v>Own website, Central database</v>
      </c>
      <c r="I69" s="1" t="str" cm="1">
        <f t="array" aca="1" ref="I69" ca="1">INDIRECT("'"&amp;A69&amp;"'!$D$6")</f>
        <v>PDF (text based)</v>
      </c>
      <c r="J69" s="54" t="str" cm="1">
        <f t="array" aca="1" ref="J69" ca="1">INDIRECT("'"&amp;A69&amp;"'!$D$7")</f>
        <v>Yes</v>
      </c>
      <c r="K69" s="24"/>
      <c r="L69" s="45" t="str" cm="1">
        <f t="array" aca="1" ref="L69" ca="1">INDIRECT("'"&amp;A69&amp;"'!$D$8")</f>
        <v>No</v>
      </c>
      <c r="M69" s="56" t="str" cm="1">
        <f t="array" aca="1" ref="M69" ca="1">INDIRECT("'"&amp;A69&amp;"'!$D$9")</f>
        <v>Library with current documents</v>
      </c>
      <c r="N69" s="1"/>
      <c r="O69" s="44" t="str" cm="1">
        <f t="array" aca="1" ref="O69" ca="1">INDIRECT("'"&amp;A69&amp;"'!$D$10")</f>
        <v>Company Registration Number/ID</v>
      </c>
      <c r="P69" t="str" cm="1">
        <f t="array" aca="1" ref="P69" ca="1">INDIRECT("'"&amp;A69&amp;"'!$D$11")</f>
        <v>Yes</v>
      </c>
      <c r="Q69" s="1" t="str" cm="1">
        <f t="array" aca="1" ref="Q69" ca="1">INDIRECT("'"&amp;A69&amp;"'!$D$12")</f>
        <v>No</v>
      </c>
      <c r="R69" s="37" t="str" cm="1">
        <f t="array" aca="1" ref="R69" ca="1">INDIRECT("'"&amp;A69&amp;"'!$D$13")</f>
        <v>CSRD (ESRS), Greenhouse Gas Protocol</v>
      </c>
      <c r="S69" s="60" t="str" cm="1">
        <f t="array" aca="1" ref="S69" ca="1">INDIRECT("'"&amp;A69&amp;"'!$D$14")</f>
        <v>Alongside disclosures (in line or on the same page)</v>
      </c>
      <c r="T69" s="48"/>
      <c r="U69" t="str" cm="1">
        <f t="array" aca="1" ref="U69" ca="1">INDIRECT("'"&amp;A69&amp;"'!$D$15")</f>
        <v>No</v>
      </c>
      <c r="V69" t="str" cm="1">
        <f t="array" aca="1" ref="V69" ca="1">INDIRECT("'"&amp;A69&amp;"'!$D$16")</f>
        <v>Not specified</v>
      </c>
    </row>
    <row r="70" spans="1:22" ht="34">
      <c r="A70" s="1" t="s">
        <v>148</v>
      </c>
      <c r="B70" s="1" t="str">
        <f>VLOOKUP(A70,'Total &amp; sector scores'!A41:B91,2,FALSE)</f>
        <v>Mechanical engineering</v>
      </c>
      <c r="C70" s="24" t="str" cm="1">
        <f t="array" aca="1" ref="C70" ca="1">INDIRECT("'"&amp;A70&amp;"'!$D$18")</f>
        <v>Yes</v>
      </c>
      <c r="D70" s="67" t="str" cm="1">
        <f t="array" aca="1" ref="D70" ca="1">INDIRECT("'"&amp;A70&amp;"'!$D$19")</f>
        <v>No</v>
      </c>
      <c r="E70" s="24" t="str" cm="1">
        <f t="array" aca="1" ref="E70" ca="1">INDIRECT("'"&amp;A70&amp;"'!$D$20")</f>
        <v>Limited assurance</v>
      </c>
      <c r="F70" s="37" t="str" cm="1">
        <f t="array" aca="1" ref="F70" ca="1">INDIRECT("'"&amp;A70&amp;"'!$D$21")</f>
        <v>Yes</v>
      </c>
      <c r="G70" s="46"/>
      <c r="H70" s="45" t="str" cm="1">
        <f t="array" aca="1" ref="H70" ca="1">INDIRECT("'"&amp;A70&amp;"'!$D$5")</f>
        <v>Own website, Central database</v>
      </c>
      <c r="I70" s="1" t="str" cm="1">
        <f t="array" aca="1" ref="I70" ca="1">INDIRECT("'"&amp;A70&amp;"'!$D$6")</f>
        <v>PDF (text based)</v>
      </c>
      <c r="J70" s="54" t="str" cm="1">
        <f t="array" aca="1" ref="J70" ca="1">INDIRECT("'"&amp;A70&amp;"'!$D$7")</f>
        <v>Yes</v>
      </c>
      <c r="K70" s="24"/>
      <c r="L70" s="45" t="str" cm="1">
        <f t="array" aca="1" ref="L70" ca="1">INDIRECT("'"&amp;A70&amp;"'!$D$8")</f>
        <v>Yes</v>
      </c>
      <c r="M70" s="56" t="str" cm="1">
        <f t="array" aca="1" ref="M70" ca="1">INDIRECT("'"&amp;A70&amp;"'!$D$9")</f>
        <v>Library with current documents</v>
      </c>
      <c r="N70" s="1"/>
      <c r="O70" s="44" t="str" cm="1">
        <f t="array" aca="1" ref="O70" ca="1">INDIRECT("'"&amp;A70&amp;"'!$D$10")</f>
        <v>No</v>
      </c>
      <c r="P70" t="str" cm="1">
        <f t="array" aca="1" ref="P70" ca="1">INDIRECT("'"&amp;A70&amp;"'!$D$11")</f>
        <v>Yes</v>
      </c>
      <c r="Q70" s="1" t="str" cm="1">
        <f t="array" aca="1" ref="Q70" ca="1">INDIRECT("'"&amp;A70&amp;"'!$D$12")</f>
        <v>Yes</v>
      </c>
      <c r="R70" s="37" t="str" cm="1">
        <f t="array" aca="1" ref="R70" ca="1">INDIRECT("'"&amp;A70&amp;"'!$D$13")</f>
        <v>GRI Standards, SASB, CDP, Greenhouse Gas Protocol, Other</v>
      </c>
      <c r="S70" s="60" t="str" cm="1">
        <f t="array" aca="1" ref="S70" ca="1">INDIRECT("'"&amp;A70&amp;"'!$D$14")</f>
        <v>Alongside disclosures (in line or on the same page)</v>
      </c>
      <c r="T70" s="48"/>
      <c r="U70" t="str" cm="1">
        <f t="array" aca="1" ref="U70" ca="1">INDIRECT("'"&amp;A70&amp;"'!$D$15")</f>
        <v>No</v>
      </c>
      <c r="V70" t="str" cm="1">
        <f t="array" aca="1" ref="V70" ca="1">INDIRECT("'"&amp;A70&amp;"'!$D$16")</f>
        <v>Not specified</v>
      </c>
    </row>
    <row r="71" spans="1:22" ht="17">
      <c r="A71" s="1" t="s">
        <v>71</v>
      </c>
      <c r="B71" s="1" t="str">
        <f>VLOOKUP(A71,'Total &amp; sector scores'!A42:B92,2,FALSE)</f>
        <v>Electrical</v>
      </c>
      <c r="C71" s="24" t="str" cm="1">
        <f t="array" aca="1" ref="C71" ca="1">INDIRECT("'"&amp;A71&amp;"'!$D$18")</f>
        <v>No</v>
      </c>
      <c r="D71" s="67" t="str" cm="1">
        <f t="array" aca="1" ref="D71" ca="1">INDIRECT("'"&amp;A71&amp;"'!$D$19")</f>
        <v>No</v>
      </c>
      <c r="E71" s="24" t="str" cm="1">
        <f t="array" aca="1" ref="E71" ca="1">INDIRECT("'"&amp;A71&amp;"'!$D$20")</f>
        <v>Limited assurance</v>
      </c>
      <c r="F71" s="37" t="str" cm="1">
        <f t="array" aca="1" ref="F71" ca="1">INDIRECT("'"&amp;A71&amp;"'!$D$21")</f>
        <v>No</v>
      </c>
      <c r="G71" s="47"/>
      <c r="H71" s="45" t="str" cm="1">
        <f t="array" aca="1" ref="H71" ca="1">INDIRECT("'"&amp;A71&amp;"'!$D$5")</f>
        <v>Own website</v>
      </c>
      <c r="I71" s="1" t="str" cm="1">
        <f t="array" aca="1" ref="I71" ca="1">INDIRECT("'"&amp;A71&amp;"'!$D$6")</f>
        <v>PDF (text based)</v>
      </c>
      <c r="J71" s="54" t="str" cm="1">
        <f t="array" aca="1" ref="J71" ca="1">INDIRECT("'"&amp;A71&amp;"'!$D$7")</f>
        <v>Yes</v>
      </c>
      <c r="K71" s="24"/>
      <c r="L71" s="45" t="str" cm="1">
        <f t="array" aca="1" ref="L71" ca="1">INDIRECT("'"&amp;A71&amp;"'!$D$8")</f>
        <v>No</v>
      </c>
      <c r="M71" s="56" t="str" cm="1">
        <f t="array" aca="1" ref="M71" ca="1">INDIRECT("'"&amp;A71&amp;"'!$D$9")</f>
        <v>Library with current documents</v>
      </c>
      <c r="N71" s="1"/>
      <c r="O71" s="44" t="str" cm="1">
        <f t="array" aca="1" ref="O71" ca="1">INDIRECT("'"&amp;A71&amp;"'!$D$10")</f>
        <v>No</v>
      </c>
      <c r="P71" t="str" cm="1">
        <f t="array" aca="1" ref="P71" ca="1">INDIRECT("'"&amp;A71&amp;"'!$D$11")</f>
        <v>Yes</v>
      </c>
      <c r="Q71" s="1" t="str" cm="1">
        <f t="array" aca="1" ref="Q71" ca="1">INDIRECT("'"&amp;A71&amp;"'!$D$12")</f>
        <v>Yes</v>
      </c>
      <c r="R71" s="37" t="str" cm="1">
        <f t="array" aca="1" ref="R71" ca="1">INDIRECT("'"&amp;A71&amp;"'!$D$13")</f>
        <v>None</v>
      </c>
      <c r="S71" s="60" t="str" cm="1">
        <f t="array" aca="1" ref="S71" ca="1">INDIRECT("'"&amp;A71&amp;"'!$D$14")</f>
        <v>No</v>
      </c>
      <c r="T71" s="48"/>
      <c r="U71" t="str" cm="1">
        <f t="array" aca="1" ref="U71" ca="1">INDIRECT("'"&amp;A71&amp;"'!$D$15")</f>
        <v>No</v>
      </c>
      <c r="V71" t="str" cm="1">
        <f t="array" aca="1" ref="V71" ca="1">INDIRECT("'"&amp;A71&amp;"'!$D$16")</f>
        <v>Not specified</v>
      </c>
    </row>
    <row r="72" spans="1:22" ht="17">
      <c r="A72" s="1" t="s">
        <v>61</v>
      </c>
      <c r="B72" s="1" t="str">
        <f>VLOOKUP(A72,'Total &amp; sector scores'!A43:B93,2,FALSE)</f>
        <v>Electrical</v>
      </c>
      <c r="C72" s="24" t="str" cm="1">
        <f t="array" aca="1" ref="C72" ca="1">INDIRECT("'"&amp;A72&amp;"'!$D$18")</f>
        <v>No</v>
      </c>
      <c r="D72" s="67" t="str" cm="1">
        <f t="array" aca="1" ref="D72" ca="1">INDIRECT("'"&amp;A72&amp;"'!$D$19")</f>
        <v>No</v>
      </c>
      <c r="E72" s="24" t="str" cm="1">
        <f t="array" aca="1" ref="E72" ca="1">INDIRECT("'"&amp;A72&amp;"'!$D$20")</f>
        <v>No assurance given</v>
      </c>
      <c r="F72" s="37" t="str" cm="1">
        <f t="array" aca="1" ref="F72" ca="1">INDIRECT("'"&amp;A72&amp;"'!$D$21")</f>
        <v>Yes</v>
      </c>
      <c r="G72" s="48"/>
      <c r="H72" s="45" t="str" cm="1">
        <f t="array" aca="1" ref="H72" ca="1">INDIRECT("'"&amp;A72&amp;"'!$D$5")</f>
        <v>Own website</v>
      </c>
      <c r="I72" s="1" t="str" cm="1">
        <f t="array" aca="1" ref="I72" ca="1">INDIRECT("'"&amp;A72&amp;"'!$D$6")</f>
        <v>PDF (text based)</v>
      </c>
      <c r="J72" s="54" t="str" cm="1">
        <f t="array" aca="1" ref="J72" ca="1">INDIRECT("'"&amp;A72&amp;"'!$D$7")</f>
        <v>No</v>
      </c>
      <c r="K72" s="24"/>
      <c r="L72" s="45" t="str" cm="1">
        <f t="array" aca="1" ref="L72" ca="1">INDIRECT("'"&amp;A72&amp;"'!$D$8")</f>
        <v>Yes</v>
      </c>
      <c r="M72" s="56" t="str" cm="1">
        <f t="array" aca="1" ref="M72" ca="1">INDIRECT("'"&amp;A72&amp;"'!$D$9")</f>
        <v>Library with current documents</v>
      </c>
      <c r="N72" s="1"/>
      <c r="O72" s="44" t="str" cm="1">
        <f t="array" aca="1" ref="O72" ca="1">INDIRECT("'"&amp;A72&amp;"'!$D$10")</f>
        <v>No</v>
      </c>
      <c r="P72" t="str" cm="1">
        <f t="array" aca="1" ref="P72" ca="1">INDIRECT("'"&amp;A72&amp;"'!$D$11")</f>
        <v>Yes</v>
      </c>
      <c r="Q72" s="1" t="str" cm="1">
        <f t="array" aca="1" ref="Q72" ca="1">INDIRECT("'"&amp;A72&amp;"'!$D$12")</f>
        <v>No</v>
      </c>
      <c r="R72" s="37" t="str" cm="1">
        <f t="array" aca="1" ref="R72" ca="1">INDIRECT("'"&amp;A72&amp;"'!$D$13")</f>
        <v>GRI Standards, Greenhouse Gas Protocol</v>
      </c>
      <c r="S72" s="60" t="str" cm="1">
        <f t="array" aca="1" ref="S72" ca="1">INDIRECT("'"&amp;A72&amp;"'!$D$14")</f>
        <v>Index with page references</v>
      </c>
      <c r="T72" s="48"/>
      <c r="U72" t="str" cm="1">
        <f t="array" aca="1" ref="U72" ca="1">INDIRECT("'"&amp;A72&amp;"'!$D$15")</f>
        <v>No</v>
      </c>
      <c r="V72" t="str" cm="1">
        <f t="array" aca="1" ref="V72" ca="1">INDIRECT("'"&amp;A72&amp;"'!$D$16")</f>
        <v>Not specified</v>
      </c>
    </row>
    <row r="73" spans="1:22" ht="17">
      <c r="A73" s="3" t="s">
        <v>20</v>
      </c>
      <c r="B73" s="1" t="str">
        <f>VLOOKUP(A73,'Total &amp; sector scores'!A44:B94,2,FALSE)</f>
        <v>Electrical</v>
      </c>
      <c r="C73" s="24" t="str" cm="1">
        <f t="array" aca="1" ref="C73" ca="1">INDIRECT("'"&amp;A73&amp;"'!$D$18")</f>
        <v>Yes</v>
      </c>
      <c r="D73" s="67" t="str" cm="1">
        <f t="array" aca="1" ref="D73" ca="1">INDIRECT("'"&amp;A73&amp;"'!$D$19")</f>
        <v>No</v>
      </c>
      <c r="E73" s="24" t="str" cm="1">
        <f t="array" aca="1" ref="E73" ca="1">INDIRECT("'"&amp;A73&amp;"'!$D$20")</f>
        <v>No assurance given</v>
      </c>
      <c r="F73" s="37" t="str" cm="1">
        <f t="array" aca="1" ref="F73" ca="1">INDIRECT("'"&amp;A73&amp;"'!$D$21")</f>
        <v>No</v>
      </c>
      <c r="G73" s="48"/>
      <c r="H73" s="45" t="str" cm="1">
        <f t="array" aca="1" ref="H73" ca="1">INDIRECT("'"&amp;A73&amp;"'!$D$5")</f>
        <v>Own website</v>
      </c>
      <c r="I73" s="1" t="str" cm="1">
        <f t="array" aca="1" ref="I73" ca="1">INDIRECT("'"&amp;A73&amp;"'!$D$6")</f>
        <v>PDF (text based)</v>
      </c>
      <c r="J73" s="54" t="str" cm="1">
        <f t="array" aca="1" ref="J73" ca="1">INDIRECT("'"&amp;A73&amp;"'!$D$7")</f>
        <v>Yes</v>
      </c>
      <c r="K73" s="24"/>
      <c r="L73" s="45" t="str" cm="1">
        <f t="array" aca="1" ref="L73" ca="1">INDIRECT("'"&amp;A73&amp;"'!$D$8")</f>
        <v>Yes</v>
      </c>
      <c r="M73" s="56" t="str" cm="1">
        <f t="array" aca="1" ref="M73" ca="1">INDIRECT("'"&amp;A73&amp;"'!$D$9")</f>
        <v>Library with current documents</v>
      </c>
      <c r="N73" s="1"/>
      <c r="O73" s="44" t="str" cm="1">
        <f t="array" aca="1" ref="O73" ca="1">INDIRECT("'"&amp;A73&amp;"'!$D$10")</f>
        <v>No</v>
      </c>
      <c r="P73" t="str" cm="1">
        <f t="array" aca="1" ref="P73" ca="1">INDIRECT("'"&amp;A73&amp;"'!$D$11")</f>
        <v>Yes</v>
      </c>
      <c r="Q73" s="1" t="str" cm="1">
        <f t="array" aca="1" ref="Q73" ca="1">INDIRECT("'"&amp;A73&amp;"'!$D$12")</f>
        <v>Yes</v>
      </c>
      <c r="R73" s="37" t="str" cm="1">
        <f t="array" aca="1" ref="R73" ca="1">INDIRECT("'"&amp;A73&amp;"'!$D$13")</f>
        <v>GRI Standards, CSRD (ESRS)</v>
      </c>
      <c r="S73" s="60" t="str" cm="1">
        <f t="array" aca="1" ref="S73" ca="1">INDIRECT("'"&amp;A73&amp;"'!$D$14")</f>
        <v>Alongside disclosures (in line or on the same page), Index with page references</v>
      </c>
      <c r="T73" s="48"/>
      <c r="U73" t="str" cm="1">
        <f t="array" aca="1" ref="U73" ca="1">INDIRECT("'"&amp;A73&amp;"'!$D$15")</f>
        <v>No</v>
      </c>
      <c r="V73" t="str" cm="1">
        <f t="array" aca="1" ref="V73" ca="1">INDIRECT("'"&amp;A73&amp;"'!$D$16")</f>
        <v>Not specified</v>
      </c>
    </row>
    <row r="74" spans="1:22" ht="17">
      <c r="A74" s="1" t="s">
        <v>129</v>
      </c>
      <c r="B74" s="1" t="str">
        <f>VLOOKUP(A74,'Total &amp; sector scores'!A45:B95,2,FALSE)</f>
        <v>Mechanical engineering</v>
      </c>
      <c r="C74" s="24" t="str" cm="1">
        <f t="array" aca="1" ref="C74" ca="1">INDIRECT("'"&amp;A74&amp;"'!$D$18")</f>
        <v>No</v>
      </c>
      <c r="D74" s="67" t="str" cm="1">
        <f t="array" aca="1" ref="D74" ca="1">INDIRECT("'"&amp;A74&amp;"'!$D$19")</f>
        <v>No</v>
      </c>
      <c r="E74" s="24" t="str" cm="1">
        <f t="array" aca="1" ref="E74" ca="1">INDIRECT("'"&amp;A74&amp;"'!$D$20")</f>
        <v>Reasonable assurance</v>
      </c>
      <c r="F74" s="37" t="str" cm="1">
        <f t="array" aca="1" ref="F74" ca="1">INDIRECT("'"&amp;A74&amp;"'!$D$21")</f>
        <v>No</v>
      </c>
      <c r="G74" s="48"/>
      <c r="H74" s="45" t="str" cm="1">
        <f t="array" aca="1" ref="H74" ca="1">INDIRECT("'"&amp;A74&amp;"'!$D$5")</f>
        <v>Own website, Central database</v>
      </c>
      <c r="I74" s="1" t="str" cm="1">
        <f t="array" aca="1" ref="I74" ca="1">INDIRECT("'"&amp;A74&amp;"'!$D$6")</f>
        <v>PDF (text based)</v>
      </c>
      <c r="J74" s="54" t="str" cm="1">
        <f t="array" aca="1" ref="J74" ca="1">INDIRECT("'"&amp;A74&amp;"'!$D$7")</f>
        <v>Yes</v>
      </c>
      <c r="K74" s="24"/>
      <c r="L74" s="45" t="str" cm="1">
        <f t="array" aca="1" ref="L74" ca="1">INDIRECT("'"&amp;A74&amp;"'!$D$8")</f>
        <v>No</v>
      </c>
      <c r="M74" s="56" t="str" cm="1">
        <f t="array" aca="1" ref="M74" ca="1">INDIRECT("'"&amp;A74&amp;"'!$D$9")</f>
        <v>Library with current documents</v>
      </c>
      <c r="N74" s="1"/>
      <c r="O74" s="44" t="str" cm="1">
        <f t="array" aca="1" ref="O74" ca="1">INDIRECT("'"&amp;A74&amp;"'!$D$10")</f>
        <v>No</v>
      </c>
      <c r="P74" t="str" cm="1">
        <f t="array" aca="1" ref="P74" ca="1">INDIRECT("'"&amp;A74&amp;"'!$D$11")</f>
        <v>Yes</v>
      </c>
      <c r="Q74" s="1" t="str" cm="1">
        <f t="array" aca="1" ref="Q74" ca="1">INDIRECT("'"&amp;A74&amp;"'!$D$12")</f>
        <v>Yes</v>
      </c>
      <c r="R74" s="37" t="str" cm="1">
        <f t="array" aca="1" ref="R74" ca="1">INDIRECT("'"&amp;A74&amp;"'!$D$13")</f>
        <v>Greenhouse Gas Protocol</v>
      </c>
      <c r="S74" s="60" t="str" cm="1">
        <f t="array" aca="1" ref="S74" ca="1">INDIRECT("'"&amp;A74&amp;"'!$D$14")</f>
        <v>No</v>
      </c>
      <c r="T74" s="48"/>
      <c r="U74" t="str" cm="1">
        <f t="array" aca="1" ref="U74" ca="1">INDIRECT("'"&amp;A74&amp;"'!$D$15")</f>
        <v>No</v>
      </c>
      <c r="V74" t="str" cm="1">
        <f t="array" aca="1" ref="V74" ca="1">INDIRECT("'"&amp;A74&amp;"'!$D$16")</f>
        <v>Not specified</v>
      </c>
    </row>
    <row r="75" spans="1:22" ht="34">
      <c r="A75" s="1" t="s">
        <v>83</v>
      </c>
      <c r="B75" s="1" t="str">
        <f>VLOOKUP(A75,'Total &amp; sector scores'!A46:B96,2,FALSE)</f>
        <v>Electrical</v>
      </c>
      <c r="C75" s="24" t="str" cm="1">
        <f t="array" aca="1" ref="C75" ca="1">INDIRECT("'"&amp;A75&amp;"'!$D$18")</f>
        <v>Yes</v>
      </c>
      <c r="D75" s="67" t="str" cm="1">
        <f t="array" aca="1" ref="D75" ca="1">INDIRECT("'"&amp;A75&amp;"'!$D$19")</f>
        <v>No</v>
      </c>
      <c r="E75" s="24" t="str" cm="1">
        <f t="array" aca="1" ref="E75" ca="1">INDIRECT("'"&amp;A75&amp;"'!$D$20")</f>
        <v>Limited assurance</v>
      </c>
      <c r="F75" s="37" t="str" cm="1">
        <f t="array" aca="1" ref="F75" ca="1">INDIRECT("'"&amp;A75&amp;"'!$D$21")</f>
        <v>Yes</v>
      </c>
      <c r="G75" s="48"/>
      <c r="H75" s="45" t="str" cm="1">
        <f t="array" aca="1" ref="H75" ca="1">INDIRECT("'"&amp;A75&amp;"'!$D$5")</f>
        <v>Own website, Central database</v>
      </c>
      <c r="I75" s="1" t="str" cm="1">
        <f t="array" aca="1" ref="I75" ca="1">INDIRECT("'"&amp;A75&amp;"'!$D$6")</f>
        <v>PDF (text based)</v>
      </c>
      <c r="J75" s="54" t="str" cm="1">
        <f t="array" aca="1" ref="J75" ca="1">INDIRECT("'"&amp;A75&amp;"'!$D$7")</f>
        <v>Yes</v>
      </c>
      <c r="K75" s="24"/>
      <c r="L75" s="45" t="str" cm="1">
        <f t="array" aca="1" ref="L75" ca="1">INDIRECT("'"&amp;A75&amp;"'!$D$8")</f>
        <v>No</v>
      </c>
      <c r="M75" s="56" t="str" cm="1">
        <f t="array" aca="1" ref="M75" ca="1">INDIRECT("'"&amp;A75&amp;"'!$D$9")</f>
        <v>Library with current documents</v>
      </c>
      <c r="N75" s="1"/>
      <c r="O75" s="44" t="str" cm="1">
        <f t="array" aca="1" ref="O75" ca="1">INDIRECT("'"&amp;A75&amp;"'!$D$10")</f>
        <v>No</v>
      </c>
      <c r="P75" t="str" cm="1">
        <f t="array" aca="1" ref="P75" ca="1">INDIRECT("'"&amp;A75&amp;"'!$D$11")</f>
        <v>Yes</v>
      </c>
      <c r="Q75" s="1" t="str" cm="1">
        <f t="array" aca="1" ref="Q75" ca="1">INDIRECT("'"&amp;A75&amp;"'!$D$12")</f>
        <v>No</v>
      </c>
      <c r="R75" s="37" t="str" cm="1">
        <f t="array" aca="1" ref="R75" ca="1">INDIRECT("'"&amp;A75&amp;"'!$D$13")</f>
        <v>ISSB (IFRS), SASB, CSRD (ESRS), Greenhouse Gas Protocol</v>
      </c>
      <c r="S75" s="60" t="str" cm="1">
        <f t="array" aca="1" ref="S75" ca="1">INDIRECT("'"&amp;A75&amp;"'!$D$14")</f>
        <v>Alongside disclosures (in line or on the same page)</v>
      </c>
      <c r="T75" s="48"/>
      <c r="U75" t="str" cm="1">
        <f t="array" aca="1" ref="U75" ca="1">INDIRECT("'"&amp;A75&amp;"'!$D$15")</f>
        <v>No</v>
      </c>
      <c r="V75" t="str" cm="1">
        <f t="array" aca="1" ref="V75" ca="1">INDIRECT("'"&amp;A75&amp;"'!$D$16")</f>
        <v>Not specified</v>
      </c>
    </row>
    <row r="76" spans="1:22" ht="17">
      <c r="A76" s="1" t="s">
        <v>145</v>
      </c>
      <c r="B76" s="1" t="str">
        <f>VLOOKUP(A76,'Total &amp; sector scores'!A47:B97,2,FALSE)</f>
        <v>Mechanical engineering</v>
      </c>
      <c r="C76" s="24" t="str" cm="1">
        <f t="array" aca="1" ref="C76" ca="1">INDIRECT("'"&amp;A76&amp;"'!$D$18")</f>
        <v>Yes</v>
      </c>
      <c r="D76" s="67" t="str" cm="1">
        <f t="array" aca="1" ref="D76" ca="1">INDIRECT("'"&amp;A76&amp;"'!$D$19")</f>
        <v>Yes</v>
      </c>
      <c r="E76" s="24" t="str" cm="1">
        <f t="array" aca="1" ref="E76" ca="1">INDIRECT("'"&amp;A76&amp;"'!$D$20")</f>
        <v>No assurance given</v>
      </c>
      <c r="F76" s="37" t="str" cm="1">
        <f t="array" aca="1" ref="F76" ca="1">INDIRECT("'"&amp;A76&amp;"'!$D$21")</f>
        <v>Yes</v>
      </c>
      <c r="G76" s="48"/>
      <c r="H76" s="45" t="str" cm="1">
        <f t="array" aca="1" ref="H76" ca="1">INDIRECT("'"&amp;A76&amp;"'!$D$5")</f>
        <v>Own website</v>
      </c>
      <c r="I76" s="1" t="str" cm="1">
        <f t="array" aca="1" ref="I76" ca="1">INDIRECT("'"&amp;A76&amp;"'!$D$6")</f>
        <v>PDF (text based)</v>
      </c>
      <c r="J76" s="54" t="str" cm="1">
        <f t="array" aca="1" ref="J76" ca="1">INDIRECT("'"&amp;A76&amp;"'!$D$7")</f>
        <v>Yes</v>
      </c>
      <c r="K76" s="24"/>
      <c r="L76" s="45" t="str" cm="1">
        <f t="array" aca="1" ref="L76" ca="1">INDIRECT("'"&amp;A76&amp;"'!$D$8")</f>
        <v>Yes</v>
      </c>
      <c r="M76" s="56" t="str" cm="1">
        <f t="array" aca="1" ref="M76" ca="1">INDIRECT("'"&amp;A76&amp;"'!$D$9")</f>
        <v>Library with current documents</v>
      </c>
      <c r="N76" s="1"/>
      <c r="O76" s="44" t="str" cm="1">
        <f t="array" aca="1" ref="O76" ca="1">INDIRECT("'"&amp;A76&amp;"'!$D$10")</f>
        <v>No</v>
      </c>
      <c r="P76" t="str" cm="1">
        <f t="array" aca="1" ref="P76" ca="1">INDIRECT("'"&amp;A76&amp;"'!$D$11")</f>
        <v>Yes</v>
      </c>
      <c r="Q76" s="1" t="str" cm="1">
        <f t="array" aca="1" ref="Q76" ca="1">INDIRECT("'"&amp;A76&amp;"'!$D$12")</f>
        <v>Yes</v>
      </c>
      <c r="R76" s="37" t="str" cm="1">
        <f t="array" aca="1" ref="R76" ca="1">INDIRECT("'"&amp;A76&amp;"'!$D$13")</f>
        <v>GRI Standards, Greenhouse Gas Protocol</v>
      </c>
      <c r="S76" s="60" t="str" cm="1">
        <f t="array" aca="1" ref="S76" ca="1">INDIRECT("'"&amp;A76&amp;"'!$D$14")</f>
        <v>Index with page references</v>
      </c>
      <c r="T76" s="48"/>
      <c r="U76" t="str" cm="1">
        <f t="array" aca="1" ref="U76" ca="1">INDIRECT("'"&amp;A76&amp;"'!$D$15")</f>
        <v>No</v>
      </c>
      <c r="V76" t="str" cm="1">
        <f t="array" aca="1" ref="V76" ca="1">INDIRECT("'"&amp;A76&amp;"'!$D$16")</f>
        <v>Not specified</v>
      </c>
    </row>
    <row r="77" spans="1:22" ht="17">
      <c r="A77" s="1" t="s">
        <v>112</v>
      </c>
      <c r="B77" s="1" t="str">
        <f>VLOOKUP(A77,'Total &amp; sector scores'!A48:B98,2,FALSE)</f>
        <v>Automotive</v>
      </c>
      <c r="C77" s="24" t="str" cm="1">
        <f t="array" aca="1" ref="C77" ca="1">INDIRECT("'"&amp;A77&amp;"'!$D$18")</f>
        <v>Yes</v>
      </c>
      <c r="D77" s="67" t="str" cm="1">
        <f t="array" aca="1" ref="D77" ca="1">INDIRECT("'"&amp;A77&amp;"'!$D$19")</f>
        <v>Yes</v>
      </c>
      <c r="E77" s="24" t="str" cm="1">
        <f t="array" aca="1" ref="E77" ca="1">INDIRECT("'"&amp;A77&amp;"'!$D$20")</f>
        <v>Limited assurance, Reasonable assurance</v>
      </c>
      <c r="F77" s="37" t="str" cm="1">
        <f t="array" aca="1" ref="F77" ca="1">INDIRECT("'"&amp;A77&amp;"'!$D$21")</f>
        <v>Yes</v>
      </c>
      <c r="G77" s="48"/>
      <c r="H77" s="45" t="str" cm="1">
        <f t="array" aca="1" ref="H77" ca="1">INDIRECT("'"&amp;A77&amp;"'!$D$5")</f>
        <v>Own website, Central database</v>
      </c>
      <c r="I77" s="1" t="str" cm="1">
        <f t="array" aca="1" ref="I77" ca="1">INDIRECT("'"&amp;A77&amp;"'!$D$6")</f>
        <v>PDF (text based)</v>
      </c>
      <c r="J77" s="54" t="str" cm="1">
        <f t="array" aca="1" ref="J77" ca="1">INDIRECT("'"&amp;A77&amp;"'!$D$7")</f>
        <v>Yes</v>
      </c>
      <c r="K77" s="24"/>
      <c r="L77" s="45" t="str" cm="1">
        <f t="array" aca="1" ref="L77" ca="1">INDIRECT("'"&amp;A77&amp;"'!$D$8")</f>
        <v>No</v>
      </c>
      <c r="M77" s="56" t="str" cm="1">
        <f t="array" aca="1" ref="M77" ca="1">INDIRECT("'"&amp;A77&amp;"'!$D$9")</f>
        <v>Library with current documents</v>
      </c>
      <c r="N77" s="1"/>
      <c r="O77" s="44" t="str" cm="1">
        <f t="array" aca="1" ref="O77" ca="1">INDIRECT("'"&amp;A77&amp;"'!$D$10")</f>
        <v>Company Registration Number/ID</v>
      </c>
      <c r="P77" t="str" cm="1">
        <f t="array" aca="1" ref="P77" ca="1">INDIRECT("'"&amp;A77&amp;"'!$D$11")</f>
        <v>Yes</v>
      </c>
      <c r="Q77" s="1" t="str" cm="1">
        <f t="array" aca="1" ref="Q77" ca="1">INDIRECT("'"&amp;A77&amp;"'!$D$12")</f>
        <v>No</v>
      </c>
      <c r="R77" s="37" t="str" cm="1">
        <f t="array" aca="1" ref="R77" ca="1">INDIRECT("'"&amp;A77&amp;"'!$D$13")</f>
        <v>GRI Standards, CSRD (ESRS), Greenhouse Gas Protocol</v>
      </c>
      <c r="S77" s="60" t="str" cm="1">
        <f t="array" aca="1" ref="S77" ca="1">INDIRECT("'"&amp;A77&amp;"'!$D$14")</f>
        <v>Alongside disclosures (in line or on the same page), Index with page references</v>
      </c>
      <c r="T77" s="48"/>
      <c r="U77" t="str" cm="1">
        <f t="array" aca="1" ref="U77" ca="1">INDIRECT("'"&amp;A77&amp;"'!$D$15")</f>
        <v>No</v>
      </c>
      <c r="V77" t="str" cm="1">
        <f t="array" aca="1" ref="V77" ca="1">INDIRECT("'"&amp;A77&amp;"'!$D$16")</f>
        <v>Not specified</v>
      </c>
    </row>
    <row r="78" spans="1:22" ht="17">
      <c r="A78" s="1" t="s">
        <v>24</v>
      </c>
      <c r="B78" s="1" t="str">
        <f>VLOOKUP(A78,'Total &amp; sector scores'!A49:B99,2,FALSE)</f>
        <v>Chemical</v>
      </c>
      <c r="C78" s="24" t="str" cm="1">
        <f t="array" aca="1" ref="C78" ca="1">INDIRECT("'"&amp;A78&amp;"'!$D$18")</f>
        <v>Yes</v>
      </c>
      <c r="D78" s="67" t="str" cm="1">
        <f t="array" aca="1" ref="D78" ca="1">INDIRECT("'"&amp;A78&amp;"'!$D$19")</f>
        <v>No</v>
      </c>
      <c r="E78" s="24" t="str" cm="1">
        <f t="array" aca="1" ref="E78" ca="1">INDIRECT("'"&amp;A78&amp;"'!$D$20")</f>
        <v>Limited assurance</v>
      </c>
      <c r="F78" s="37" t="str" cm="1">
        <f t="array" aca="1" ref="F78" ca="1">INDIRECT("'"&amp;A78&amp;"'!$D$21")</f>
        <v>Yes</v>
      </c>
      <c r="G78" s="48"/>
      <c r="H78" s="45" t="str" cm="1">
        <f t="array" aca="1" ref="H78" ca="1">INDIRECT("'"&amp;A78&amp;"'!$D$5")</f>
        <v>Own website, Central database</v>
      </c>
      <c r="I78" s="1" t="str" cm="1">
        <f t="array" aca="1" ref="I78" ca="1">INDIRECT("'"&amp;A78&amp;"'!$D$6")</f>
        <v>PDF (text based)</v>
      </c>
      <c r="J78" s="54" t="str" cm="1">
        <f t="array" aca="1" ref="J78" ca="1">INDIRECT("'"&amp;A78&amp;"'!$D$7")</f>
        <v>Yes</v>
      </c>
      <c r="K78" s="24"/>
      <c r="L78" s="45" t="str" cm="1">
        <f t="array" aca="1" ref="L78" ca="1">INDIRECT("'"&amp;A78&amp;"'!$D$8")</f>
        <v>No</v>
      </c>
      <c r="M78" s="56" t="str" cm="1">
        <f t="array" aca="1" ref="M78" ca="1">INDIRECT("'"&amp;A78&amp;"'!$D$9")</f>
        <v>Library with current documents</v>
      </c>
      <c r="N78" s="1"/>
      <c r="O78" s="44" t="str" cm="1">
        <f t="array" aca="1" ref="O78" ca="1">INDIRECT("'"&amp;A78&amp;"'!$D$10")</f>
        <v>Company Registration Number/ID, Tax ID</v>
      </c>
      <c r="P78" t="str" cm="1">
        <f t="array" aca="1" ref="P78" ca="1">INDIRECT("'"&amp;A78&amp;"'!$D$11")</f>
        <v>Yes</v>
      </c>
      <c r="Q78" s="1" t="str" cm="1">
        <f t="array" aca="1" ref="Q78" ca="1">INDIRECT("'"&amp;A78&amp;"'!$D$12")</f>
        <v>Yes</v>
      </c>
      <c r="R78" s="37" t="str" cm="1">
        <f t="array" aca="1" ref="R78" ca="1">INDIRECT("'"&amp;A78&amp;"'!$D$13")</f>
        <v>GRI Standards, CSRD (ESRS)</v>
      </c>
      <c r="S78" s="60" t="str" cm="1">
        <f t="array" aca="1" ref="S78" ca="1">INDIRECT("'"&amp;A78&amp;"'!$D$14")</f>
        <v>Index with page references</v>
      </c>
      <c r="T78" s="48"/>
      <c r="U78" t="str" cm="1">
        <f t="array" aca="1" ref="U78" ca="1">INDIRECT("'"&amp;A78&amp;"'!$D$15")</f>
        <v>No</v>
      </c>
      <c r="V78" t="str" cm="1">
        <f t="array" aca="1" ref="V78" ca="1">INDIRECT("'"&amp;A78&amp;"'!$D$16")</f>
        <v>Not specified</v>
      </c>
    </row>
    <row r="79" spans="1:22" ht="17">
      <c r="A79" s="1" t="s">
        <v>152</v>
      </c>
      <c r="B79" s="1" t="str">
        <f>VLOOKUP(A79,'Total &amp; sector scores'!A50:B100,2,FALSE)</f>
        <v>Automotive</v>
      </c>
      <c r="C79" s="24" t="str" cm="1">
        <f t="array" aca="1" ref="C79" ca="1">INDIRECT("'"&amp;A79&amp;"'!$D$18")</f>
        <v>Yes</v>
      </c>
      <c r="D79" s="67" t="str" cm="1">
        <f t="array" aca="1" ref="D79" ca="1">INDIRECT("'"&amp;A79&amp;"'!$D$19")</f>
        <v>No</v>
      </c>
      <c r="E79" s="24" t="str" cm="1">
        <f t="array" aca="1" ref="E79" ca="1">INDIRECT("'"&amp;A79&amp;"'!$D$20")</f>
        <v>No assurance given</v>
      </c>
      <c r="F79" s="37" t="str" cm="1">
        <f t="array" aca="1" ref="F79" ca="1">INDIRECT("'"&amp;A79&amp;"'!$D$21")</f>
        <v>Yes</v>
      </c>
      <c r="G79" s="48"/>
      <c r="H79" s="45" t="str" cm="1">
        <f t="array" aca="1" ref="H79" ca="1">INDIRECT("'"&amp;A79&amp;"'!$D$5")</f>
        <v>Own website</v>
      </c>
      <c r="I79" s="1" t="str" cm="1">
        <f t="array" aca="1" ref="I79" ca="1">INDIRECT("'"&amp;A79&amp;"'!$D$6")</f>
        <v>PDF (text based)</v>
      </c>
      <c r="J79" s="54" t="str" cm="1">
        <f t="array" aca="1" ref="J79" ca="1">INDIRECT("'"&amp;A79&amp;"'!$D$7")</f>
        <v>Yes</v>
      </c>
      <c r="K79" s="24"/>
      <c r="L79" s="45" t="str" cm="1">
        <f t="array" aca="1" ref="L79" ca="1">INDIRECT("'"&amp;A79&amp;"'!$D$8")</f>
        <v>No</v>
      </c>
      <c r="M79" s="56" t="str" cm="1">
        <f t="array" aca="1" ref="M79" ca="1">INDIRECT("'"&amp;A79&amp;"'!$D$9")</f>
        <v>No</v>
      </c>
      <c r="N79" s="1"/>
      <c r="O79" s="44" t="str" cm="1">
        <f t="array" aca="1" ref="O79" ca="1">INDIRECT("'"&amp;A79&amp;"'!$D$10")</f>
        <v>No</v>
      </c>
      <c r="P79" t="str" cm="1">
        <f t="array" aca="1" ref="P79" ca="1">INDIRECT("'"&amp;A79&amp;"'!$D$11")</f>
        <v>Yes</v>
      </c>
      <c r="Q79" s="1" t="str" cm="1">
        <f t="array" aca="1" ref="Q79" ca="1">INDIRECT("'"&amp;A79&amp;"'!$D$12")</f>
        <v>Yes</v>
      </c>
      <c r="R79" s="37" t="str" cm="1">
        <f t="array" aca="1" ref="R79" ca="1">INDIRECT("'"&amp;A79&amp;"'!$D$13")</f>
        <v>CSRD (ESRS), Other</v>
      </c>
      <c r="S79" s="60" t="str" cm="1">
        <f t="array" aca="1" ref="S79" ca="1">INDIRECT("'"&amp;A79&amp;"'!$D$14")</f>
        <v>No</v>
      </c>
      <c r="T79" s="48"/>
      <c r="U79" t="str" cm="1">
        <f t="array" aca="1" ref="U79" ca="1">INDIRECT("'"&amp;A79&amp;"'!$D$15")</f>
        <v>No</v>
      </c>
      <c r="V79" t="str" cm="1">
        <f t="array" aca="1" ref="V79" ca="1">INDIRECT("'"&amp;A79&amp;"'!$D$16")</f>
        <v>Not specified</v>
      </c>
    </row>
  </sheetData>
  <autoFilter ref="A29:V79" xr:uid="{AEECAF65-C905-0343-BE49-449D46FBA2CD}"/>
  <dataConsolidate/>
  <mergeCells count="6">
    <mergeCell ref="U28:V28"/>
    <mergeCell ref="K2:L2"/>
    <mergeCell ref="C28:F28"/>
    <mergeCell ref="H28:J28"/>
    <mergeCell ref="L28:M28"/>
    <mergeCell ref="O28:S28"/>
  </mergeCells>
  <conditionalFormatting sqref="C30:C79">
    <cfRule type="containsText" dxfId="18" priority="19" operator="containsText" text="No">
      <formula>NOT(ISERROR(SEARCH("No",C30)))</formula>
    </cfRule>
  </conditionalFormatting>
  <conditionalFormatting sqref="D30:D79">
    <cfRule type="containsText" dxfId="17" priority="18" operator="containsText" text="Yes">
      <formula>NOT(ISERROR(SEARCH("Yes",D30)))</formula>
    </cfRule>
  </conditionalFormatting>
  <conditionalFormatting sqref="E30:E79">
    <cfRule type="containsText" dxfId="16" priority="17" operator="containsText" text="No assurance given">
      <formula>NOT(ISERROR(SEARCH("No assurance given",E30)))</formula>
    </cfRule>
  </conditionalFormatting>
  <conditionalFormatting sqref="F30:F79">
    <cfRule type="containsText" dxfId="15" priority="16" operator="containsText" text="No">
      <formula>NOT(ISERROR(SEARCH("No",F30)))</formula>
    </cfRule>
  </conditionalFormatting>
  <conditionalFormatting sqref="H30:H79">
    <cfRule type="containsText" dxfId="14" priority="14" operator="containsText" text="Nowhere">
      <formula>NOT(ISERROR(SEARCH("Nowhere",H30)))</formula>
    </cfRule>
    <cfRule type="containsText" dxfId="13" priority="15" operator="containsText" text="Central database">
      <formula>NOT(ISERROR(SEARCH("Central database",H30)))</formula>
    </cfRule>
  </conditionalFormatting>
  <conditionalFormatting sqref="I30:I79">
    <cfRule type="containsText" dxfId="12" priority="13" operator="containsText" text="Spreadsheet">
      <formula>NOT(ISERROR(SEARCH("Spreadsheet",I30)))</formula>
    </cfRule>
  </conditionalFormatting>
  <conditionalFormatting sqref="J30:J79">
    <cfRule type="containsText" dxfId="11" priority="12" operator="containsText" text="No">
      <formula>NOT(ISERROR(SEARCH("No",J30)))</formula>
    </cfRule>
  </conditionalFormatting>
  <conditionalFormatting sqref="L30:L79">
    <cfRule type="containsText" dxfId="10" priority="11" operator="containsText" text="Yes">
      <formula>NOT(ISERROR(SEARCH("Yes",L30)))</formula>
    </cfRule>
  </conditionalFormatting>
  <conditionalFormatting sqref="M30:M79">
    <cfRule type="containsText" dxfId="9" priority="9" operator="containsText" text="No">
      <formula>NOT(ISERROR(SEARCH("No",M30)))</formula>
    </cfRule>
    <cfRule type="containsText" dxfId="8" priority="10" operator="containsText" text="Archive">
      <formula>NOT(ISERROR(SEARCH("Archive",M30)))</formula>
    </cfRule>
  </conditionalFormatting>
  <conditionalFormatting sqref="O30:O79">
    <cfRule type="containsText" dxfId="7" priority="8" operator="containsText" text="ID">
      <formula>NOT(ISERROR(SEARCH("ID",O30)))</formula>
    </cfRule>
  </conditionalFormatting>
  <conditionalFormatting sqref="P30:P79">
    <cfRule type="containsText" dxfId="6" priority="7" operator="containsText" text="No">
      <formula>NOT(ISERROR(SEARCH("No",P30)))</formula>
    </cfRule>
  </conditionalFormatting>
  <conditionalFormatting sqref="Q30:Q78">
    <cfRule type="containsText" dxfId="5" priority="6" operator="containsText" text="No">
      <formula>NOT(ISERROR(SEARCH("No",Q30)))</formula>
    </cfRule>
  </conditionalFormatting>
  <conditionalFormatting sqref="R30:R79">
    <cfRule type="containsText" dxfId="4" priority="5" operator="containsText" text="None">
      <formula>NOT(ISERROR(SEARCH("None",R30)))</formula>
    </cfRule>
  </conditionalFormatting>
  <conditionalFormatting sqref="S30:S79">
    <cfRule type="containsText" dxfId="3" priority="3" operator="containsText" text="Alongside">
      <formula>NOT(ISERROR(SEARCH("Alongside",S30)))</formula>
    </cfRule>
    <cfRule type="containsText" dxfId="2" priority="4" operator="containsText" text="No">
      <formula>NOT(ISERROR(SEARCH("No",S30)))</formula>
    </cfRule>
  </conditionalFormatting>
  <conditionalFormatting sqref="U30:U79">
    <cfRule type="containsText" dxfId="1" priority="2" operator="containsText" text="Yes">
      <formula>NOT(ISERROR(SEARCH("Yes",U30)))</formula>
    </cfRule>
  </conditionalFormatting>
  <conditionalFormatting sqref="V30:V79">
    <cfRule type="containsText" dxfId="0" priority="1" operator="containsText" text="Closed">
      <formula>NOT(ISERROR(SEARCH("Closed",V30)))</formula>
    </cfRule>
  </conditionalFormatting>
  <pageMargins left="0.7" right="0.7" top="0.75" bottom="0.75" header="0.3" footer="0.3"/>
  <pageSetup paperSize="9" orientation="portrait" horizontalDpi="0" verticalDpi="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52EEA-18CB-F542-944B-A0B1453FE9BB}">
  <sheetPr codeName="Sheet4"/>
  <dimension ref="A1:I30"/>
  <sheetViews>
    <sheetView workbookViewId="0">
      <selection activeCell="C2" sqref="C2"/>
    </sheetView>
  </sheetViews>
  <sheetFormatPr baseColWidth="10" defaultRowHeight="16"/>
  <cols>
    <col min="1" max="1" width="48.5" style="5" bestFit="1" customWidth="1"/>
    <col min="2" max="2" width="50.33203125" style="4" customWidth="1"/>
    <col min="3" max="3" width="39.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50Hertz Transmission</v>
      </c>
    </row>
    <row r="2" spans="1:9" ht="23">
      <c r="A2" s="8" t="s">
        <v>1616</v>
      </c>
      <c r="B2" s="18">
        <f>SUM(E5:E16)/12</f>
        <v>3.25</v>
      </c>
    </row>
    <row r="4" spans="1:9">
      <c r="A4" s="9" t="s">
        <v>1488</v>
      </c>
      <c r="B4" s="10" t="s">
        <v>1489</v>
      </c>
      <c r="C4" s="9" t="s">
        <v>1494</v>
      </c>
      <c r="D4" s="10" t="s">
        <v>1490</v>
      </c>
      <c r="E4" s="9" t="s">
        <v>1491</v>
      </c>
      <c r="F4" s="11" t="s">
        <v>1514</v>
      </c>
      <c r="G4" s="9" t="s">
        <v>1493</v>
      </c>
      <c r="H4" s="10" t="s">
        <v>1492</v>
      </c>
    </row>
    <row r="5" spans="1:9" ht="64">
      <c r="A5" s="13" t="s">
        <v>91</v>
      </c>
      <c r="B5" s="14" t="s">
        <v>1496</v>
      </c>
      <c r="C5" s="14" t="s">
        <v>1516</v>
      </c>
      <c r="D5" s="14" t="str">
        <f ca="1">VLOOKUP($A5&amp;$B$1,'Export 3 Oct'!$B$6:$K$851,5, FALSE)</f>
        <v>On request</v>
      </c>
      <c r="E5" s="12">
        <v>0</v>
      </c>
      <c r="F5" s="12"/>
      <c r="G5" s="12" t="str">
        <f ca="1">VLOOKUP($A5&amp;$B$1,'Export 3 Oct'!$B$6:$K$851,6, FALSE)</f>
        <v>https://wikirate.org/~22246067</v>
      </c>
      <c r="H5" s="14" t="str">
        <f ca="1">VLOOKUP($A5&amp;$B$1,'Export 3 Oct'!$B$6:$K$851,10, FALSE)</f>
        <v>https://www.50hertz.com/Media/Medialibrary Yohann[https://wikirate.org/Yohann].....2025-08-19 09:26:56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https://wikirate.org/~21496925</v>
      </c>
      <c r="H6" s="14" t="str">
        <f ca="1">VLOOKUP($A6&amp;$B$1,'Export 3 Oct'!$B$6:$K$851,10, FALSE)</f>
        <v>https://www.50hertz.com/Media/Medialibrary Yohann[https://wikirate.org/Yohann].....2025-08-19 09:27:32 UTC</v>
      </c>
      <c r="I6" s="12"/>
    </row>
    <row r="7" spans="1:9" ht="32">
      <c r="A7" s="13" t="s">
        <v>901</v>
      </c>
      <c r="B7" s="14" t="s">
        <v>1498</v>
      </c>
      <c r="C7" s="14" t="s">
        <v>1517</v>
      </c>
      <c r="D7" s="14" t="str">
        <f ca="1">VLOOKUP($A7&amp;$B$1,'Export 3 Oct'!$B$6:$K$851,5, FALSE)</f>
        <v>No</v>
      </c>
      <c r="E7" s="12">
        <v>0</v>
      </c>
      <c r="F7" s="12"/>
      <c r="G7" s="12" t="str">
        <f ca="1">VLOOKUP($A7&amp;$B$1,'Export 3 Oct'!$B$6:$K$851,6, FALSE)</f>
        <v>https://wikirate.org/~22246067</v>
      </c>
      <c r="H7" s="14" t="str">
        <f ca="1">VLOOKUP($A7&amp;$B$1,'Export 3 Oct'!$B$6:$K$851,10, FALSE)</f>
        <v>https://www.50hertz.com/Media/Medialibrary I didn't find previous non-financial report on their website Yohann[https://wikirate.org/Yohann].....2025-08-19 09:29:28 UTC</v>
      </c>
      <c r="I7" s="12"/>
    </row>
    <row r="8" spans="1:9" ht="48">
      <c r="A8" s="13" t="s">
        <v>629</v>
      </c>
      <c r="B8" s="14" t="s">
        <v>1499</v>
      </c>
      <c r="C8" s="14" t="s">
        <v>1517</v>
      </c>
      <c r="D8" s="14" t="str">
        <f ca="1">VLOOKUP($A8&amp;$B$1,'Export 3 Oct'!$B$6:$K$851,5, FALSE)</f>
        <v>No</v>
      </c>
      <c r="E8" s="12">
        <v>0</v>
      </c>
      <c r="F8" s="12"/>
      <c r="G8" s="12" t="str">
        <f ca="1">VLOOKUP($A8&amp;$B$1,'Export 3 Oct'!$B$6:$K$851,6, FALSE)</f>
        <v>https://wikirate.org/~21496925</v>
      </c>
      <c r="H8" s="14" t="str">
        <f ca="1">VLOOKUP($A8&amp;$B$1,'Export 3 Oct'!$B$6:$K$851,10, FALSE)</f>
        <v>yes ex p. 21 Yohann[https://wikirate.org/Yohann].....2025-08-19 09:32:54 UTC under "find out more" Yohann[https://wikirate.org/Yohann].....2025-08-19 09:33:13 UTC No reference to policies or code of conduct. Lucia Ixtacuy[https://wikirate.org/Lucia_Ixtacuy].....2025-08-21 10:51:09 UTC</v>
      </c>
      <c r="I8" s="12"/>
    </row>
    <row r="9" spans="1:9" ht="64">
      <c r="A9" s="13" t="s">
        <v>701</v>
      </c>
      <c r="B9" s="14" t="s">
        <v>1500</v>
      </c>
      <c r="C9" s="14" t="s">
        <v>1518</v>
      </c>
      <c r="D9" s="14" t="str">
        <f ca="1">VLOOKUP($A9&amp;$B$1,'Export 3 Oct'!$B$6:$K$851,5, FALSE)</f>
        <v>Library with current documents</v>
      </c>
      <c r="E9" s="12">
        <v>5</v>
      </c>
      <c r="F9" s="12"/>
      <c r="G9" s="12" t="str">
        <f ca="1">VLOOKUP($A9&amp;$B$1,'Export 3 Oct'!$B$6:$K$851,6, FALSE)</f>
        <v>https://wikirate.org/~22335789</v>
      </c>
      <c r="H9" s="14" t="str">
        <f ca="1">VLOOKUP($A9&amp;$B$1,'Export 3 Oct'!$B$6:$K$851,10, FALSE)</f>
        <v>https://www.50hertz.com/Media/Medialibrary Yohann[https://wikirate.org/Yohann].....2025-08-19 09:34:48 UTC It is not clear if this is a comprehensive overview, but you can download both relevant policies and codes of conduct from this page. Laureen van Breen[https://wikirate.org/Laureen_van_Breen].....2025-09-21 13:07:03 UTC</v>
      </c>
      <c r="I9" s="12"/>
    </row>
    <row r="10" spans="1:9" ht="176">
      <c r="A10" s="13" t="s">
        <v>328</v>
      </c>
      <c r="B10" s="14" t="s">
        <v>1501</v>
      </c>
      <c r="C10" s="14" t="s">
        <v>1519</v>
      </c>
      <c r="D10" s="14" t="str">
        <f ca="1">VLOOKUP($A10&amp;$B$1,'Export 3 Oct'!$B$6:$K$851,5, FALSE)</f>
        <v>No</v>
      </c>
      <c r="E10" s="12">
        <v>0</v>
      </c>
      <c r="F10" s="12"/>
      <c r="G10" s="12" t="str">
        <f ca="1">VLOOKUP($A10&amp;$B$1,'Export 3 Oct'!$B$6:$K$851,6, FALSE)</f>
        <v>https://wikirate.org/~21496925</v>
      </c>
      <c r="H10" s="14"/>
      <c r="I10" s="12"/>
    </row>
    <row r="11" spans="1:9" ht="32">
      <c r="A11" s="13" t="s">
        <v>412</v>
      </c>
      <c r="B11" s="14" t="s">
        <v>1502</v>
      </c>
      <c r="C11" s="14" t="s">
        <v>1517</v>
      </c>
      <c r="D11" s="14" t="str">
        <f ca="1">VLOOKUP($A11&amp;$B$1,'Export 3 Oct'!$B$6:$K$851,5, FALSE)</f>
        <v>Yes</v>
      </c>
      <c r="E11" s="12">
        <v>10</v>
      </c>
      <c r="F11" s="12"/>
      <c r="G11" s="12" t="str">
        <f ca="1">VLOOKUP($A11&amp;$B$1,'Export 3 Oct'!$B$6:$K$851,6, FALSE)</f>
        <v>https://wikirate.org/~21496925</v>
      </c>
      <c r="H11" s="14"/>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https://wikirate.org/~21496925</v>
      </c>
      <c r="H12" s="14"/>
      <c r="I12" s="12"/>
    </row>
    <row r="13" spans="1:9" ht="208">
      <c r="A13" s="13" t="s">
        <v>1044</v>
      </c>
      <c r="B13" s="14" t="s">
        <v>1504</v>
      </c>
      <c r="C13" s="14" t="s">
        <v>1520</v>
      </c>
      <c r="D13" s="14" t="str">
        <f ca="1">VLOOKUP($A13&amp;$B$1,'Export 3 Oct'!$B$6:$K$851,5, FALSE)</f>
        <v>CSRD (ESRS), Greenhouse Gas Protocol</v>
      </c>
      <c r="E13" s="12">
        <v>10</v>
      </c>
      <c r="F13" s="12"/>
      <c r="G13" s="12" t="str">
        <f ca="1">VLOOKUP($A13&amp;$B$1,'Export 3 Oct'!$B$6:$K$851,6, FALSE)</f>
        <v>https://wikirate.org/~21496925</v>
      </c>
      <c r="H13" s="14" t="str">
        <f ca="1">VLOOKUP($A13&amp;$B$1,'Export 3 Oct'!$B$6:$K$851,10, FALSE)</f>
        <v>There is a section on their website about GRI, although the period covered is not clear. https://csr.50hertz.com/en/Sustainability-Report/GRI Lucia Ixtacuy[https://wikirate.org/Lucia_Ixtacuy].....2025-08-21 14:12:46 UTC</v>
      </c>
      <c r="I13" s="12"/>
    </row>
    <row r="14" spans="1:9" ht="128">
      <c r="A14" s="13" t="s">
        <v>495</v>
      </c>
      <c r="B14" s="14" t="s">
        <v>1505</v>
      </c>
      <c r="C14" s="14" t="s">
        <v>1521</v>
      </c>
      <c r="D14" s="14" t="str">
        <f ca="1">VLOOKUP($A14&amp;$B$1,'Export 3 Oct'!$B$6:$K$851,5, FALSE)</f>
        <v>Alongside disclosures (in line or on the same page), Index with page references</v>
      </c>
      <c r="E14" s="12">
        <v>10</v>
      </c>
      <c r="F14" s="12"/>
      <c r="G14" s="12" t="str">
        <f ca="1">VLOOKUP($A14&amp;$B$1,'Export 3 Oct'!$B$6:$K$851,6, FALSE)</f>
        <v>https://wikirate.org/~21496925</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https://wikirate.org/~21496925</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https://wikirate.org/~21496925</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Yes</v>
      </c>
      <c r="E18" s="12" t="s">
        <v>1515</v>
      </c>
      <c r="F18" s="12"/>
      <c r="G18" s="12" t="str">
        <f ca="1">VLOOKUP($A18&amp;$B$1,'Export 3 Oct'!$B$6:$K$851,6, FALSE)</f>
        <v>https://wikirate.org/~21496925</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https://wikirate.org/~21496925</v>
      </c>
      <c r="H19" s="14"/>
      <c r="I19" s="12"/>
    </row>
    <row r="20" spans="1:9" ht="48">
      <c r="A20" s="13" t="s">
        <v>814</v>
      </c>
      <c r="B20" s="14" t="s">
        <v>1510</v>
      </c>
      <c r="C20" s="14" t="s">
        <v>1524</v>
      </c>
      <c r="D20" s="14" t="str">
        <f ca="1">VLOOKUP($A20&amp;$B$1,'Export 3 Oct'!$B$6:$K$851,5, FALSE)</f>
        <v>Limited assurance</v>
      </c>
      <c r="E20" s="12" t="s">
        <v>1515</v>
      </c>
      <c r="F20" s="12"/>
      <c r="G20" s="12" t="str">
        <f ca="1">VLOOKUP($A20&amp;$B$1,'Export 3 Oct'!$B$6:$K$851,6, FALSE)</f>
        <v>https://wikirate.org/~21496925</v>
      </c>
      <c r="H20" s="14"/>
      <c r="I20" s="12"/>
    </row>
    <row r="21" spans="1:9">
      <c r="A21" s="13" t="s">
        <v>13</v>
      </c>
      <c r="B21" s="14" t="s">
        <v>1511</v>
      </c>
      <c r="C21" s="12" t="s">
        <v>1523</v>
      </c>
      <c r="D21" s="14" t="str">
        <f ca="1">VLOOKUP($A21&amp;$B$1,'Export 3 Oct'!$B$6:$K$851,5, FALSE)</f>
        <v>Yes</v>
      </c>
      <c r="E21" s="12" t="s">
        <v>1515</v>
      </c>
      <c r="F21" s="12"/>
      <c r="G21" s="12" t="str">
        <f ca="1">VLOOKUP($A21&amp;$B$1,'Export 3 Oct'!$B$6:$K$851,6, FALSE)</f>
        <v>https://wikirate.org/~21496925</v>
      </c>
      <c r="H21" s="14"/>
      <c r="I21" s="12"/>
    </row>
    <row r="26" spans="1:9">
      <c r="A26" s="39" t="s">
        <v>1634</v>
      </c>
    </row>
    <row r="27" spans="1:9">
      <c r="A27" s="38" t="s">
        <v>1630</v>
      </c>
      <c r="B27" s="40">
        <f>AVERAGE($E$5,$E$6,$E$7)</f>
        <v>1.3333333333333333</v>
      </c>
    </row>
    <row r="28" spans="1:9">
      <c r="A28" s="38" t="s">
        <v>1631</v>
      </c>
      <c r="B28" s="40">
        <f>AVERAGE($E$8,$E$9)</f>
        <v>2.5</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48205-9C79-BF4D-9B96-92E91EEBD7D5}">
  <sheetPr codeName="Sheet5"/>
  <dimension ref="A1:I30"/>
  <sheetViews>
    <sheetView topLeftCell="A21" workbookViewId="0">
      <selection activeCell="A26" sqref="A26:B30"/>
    </sheetView>
  </sheetViews>
  <sheetFormatPr baseColWidth="10" defaultRowHeight="16"/>
  <cols>
    <col min="1" max="1" width="48.5" style="5" bestFit="1" customWidth="1"/>
    <col min="2" max="2" width="50.33203125" style="4" customWidth="1"/>
    <col min="3" max="3" width="37.33203125" style="5" customWidth="1"/>
    <col min="4" max="4" width="25.5" style="5"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Airbus Group</v>
      </c>
    </row>
    <row r="2" spans="1:9" ht="23">
      <c r="A2" s="8" t="s">
        <v>1616</v>
      </c>
      <c r="B2" s="18">
        <f>SUM(E5:E16)/12</f>
        <v>5.333333333333333</v>
      </c>
    </row>
    <row r="4" spans="1:9">
      <c r="A4" s="9" t="s">
        <v>1488</v>
      </c>
      <c r="B4" s="10" t="s">
        <v>1489</v>
      </c>
      <c r="C4" s="9" t="s">
        <v>1494</v>
      </c>
      <c r="D4" s="9" t="s">
        <v>1490</v>
      </c>
      <c r="E4" s="9" t="s">
        <v>1491</v>
      </c>
      <c r="F4" s="11" t="s">
        <v>1514</v>
      </c>
      <c r="G4" s="9" t="s">
        <v>1493</v>
      </c>
      <c r="H4" s="10" t="s">
        <v>1492</v>
      </c>
      <c r="I4" s="12"/>
    </row>
    <row r="5" spans="1:9" ht="64">
      <c r="A5" s="13" t="s">
        <v>91</v>
      </c>
      <c r="B5" s="14" t="s">
        <v>1496</v>
      </c>
      <c r="C5" s="14" t="s">
        <v>1516</v>
      </c>
      <c r="D5" s="12" t="str">
        <f ca="1">VLOOKUP($A5&amp;$B$1,'Export 3 Oct'!$B$6:$K$851,5, FALSE)</f>
        <v>Own website</v>
      </c>
      <c r="E5" s="12">
        <v>5</v>
      </c>
      <c r="F5" s="12"/>
      <c r="G5" s="12" t="str">
        <f ca="1">VLOOKUP($A5&amp;$B$1,'Export 3 Oct'!$B$6:$K$851,6, FALSE)</f>
        <v>https://wikirate.org/~21781819</v>
      </c>
      <c r="H5" s="14" t="str">
        <f ca="1">VLOOKUP($A5&amp;$B$1,'Export 3 Oct'!$B$6:$K$851,10, FALSE)</f>
        <v>https://www.airbus.com/sites/g/files/jlcbta136/files/2025-04/Airbus%20Annual%20Report%202024.pdf Katharina Linn[https://wikirate.org/Katharina_Linn].....2025-06-05 13:16:06 UTC</v>
      </c>
      <c r="I5" s="12"/>
    </row>
    <row r="6" spans="1:9" ht="112">
      <c r="A6" s="13" t="s">
        <v>242</v>
      </c>
      <c r="B6" s="14" t="s">
        <v>1497</v>
      </c>
      <c r="C6" s="14" t="s">
        <v>1525</v>
      </c>
      <c r="D6" s="12" t="str">
        <f ca="1">VLOOKUP($A6&amp;$B$1,'Export 3 Oct'!$B$6:$K$851,5, FALSE)</f>
        <v>PDF (text based)</v>
      </c>
      <c r="E6" s="12">
        <v>4</v>
      </c>
      <c r="F6" s="12"/>
      <c r="G6" s="12" t="str">
        <f ca="1">VLOOKUP($A6&amp;$B$1,'Export 3 Oct'!$B$6:$K$851,6, FALSE)</f>
        <v>https://wikirate.org/~21476193</v>
      </c>
      <c r="H6" s="14"/>
      <c r="I6" s="12"/>
    </row>
    <row r="7" spans="1:9" ht="32">
      <c r="A7" s="13" t="s">
        <v>901</v>
      </c>
      <c r="B7" s="14" t="s">
        <v>1498</v>
      </c>
      <c r="C7" s="14" t="s">
        <v>1517</v>
      </c>
      <c r="D7" s="12" t="str">
        <f ca="1">VLOOKUP($A7&amp;$B$1,'Export 3 Oct'!$B$6:$K$851,5, FALSE)</f>
        <v>Yes</v>
      </c>
      <c r="E7" s="12">
        <v>10</v>
      </c>
      <c r="F7" s="12"/>
      <c r="G7" s="12" t="str">
        <f ca="1">VLOOKUP($A7&amp;$B$1,'Export 3 Oct'!$B$6:$K$851,6, FALSE)</f>
        <v>https://wikirate.org/~22245842</v>
      </c>
      <c r="H7" s="14" t="str">
        <f ca="1">VLOOKUP($A7&amp;$B$1,'Export 3 Oct'!$B$6:$K$851,10, FALSE)</f>
        <v>The year can be selected from the drop-down menu for reports from previous years Marc McGowan[https://wikirate.org/Marc_McGowan].....2025-08-18 12:07:43 UTC</v>
      </c>
      <c r="I7" s="12"/>
    </row>
    <row r="8" spans="1:9" ht="144">
      <c r="A8" s="13" t="s">
        <v>629</v>
      </c>
      <c r="B8" s="14" t="s">
        <v>1499</v>
      </c>
      <c r="C8" s="14" t="s">
        <v>1517</v>
      </c>
      <c r="D8" s="12" t="str">
        <f ca="1">VLOOKUP($A8&amp;$B$1,'Export 3 Oct'!$B$6:$K$851,5, FALSE)</f>
        <v>Yes</v>
      </c>
      <c r="E8" s="12">
        <v>10</v>
      </c>
      <c r="F8" s="12"/>
      <c r="G8" s="12" t="str">
        <f ca="1">VLOOKUP($A8&amp;$B$1,'Export 3 Oct'!$B$6:$K$851,6, FALSE)</f>
        <v>https://wikirate.org/~21476193</v>
      </c>
      <c r="H8" s="14" t="str">
        <f ca="1">VLOOKUP($A8&amp;$B$1,'Export 3 Oct'!$B$6:$K$851,10, FALSE)</f>
        <v>Example: "This remuneration report explains how the Company implemented the Remuneration Policy for the Board of Directors in the financial year 2024. As disclosed in the Airbus Report of the Board of Directors 2023, and as part of the Company‚Äôs commitment to transparency and accessibility, the Company‚Äôs Remuneration Policy is no longer included in the Board Report, rather it is available as a standalone document, posted with the Company‚Äôs governance and framework documents on the Company‚Äôs website: https://www.airbus.com/en/our‚Äëgovernance/governance‚Äëframework‚Äëand‚Äëdocuments Not for all policies, eg. Environmental Policy, Human Rights Policy Lucia Ixtacuy[https://wikirate.org/Lucia_Ixtacuy].....2025-07-17 12:53:05 UTC</v>
      </c>
      <c r="I8" s="12"/>
    </row>
    <row r="9" spans="1:9" ht="64">
      <c r="A9" s="13" t="s">
        <v>701</v>
      </c>
      <c r="B9" s="14" t="s">
        <v>1500</v>
      </c>
      <c r="C9" s="14" t="s">
        <v>1518</v>
      </c>
      <c r="D9" s="12" t="str">
        <f ca="1">VLOOKUP($A9&amp;$B$1,'Export 3 Oct'!$B$6:$K$851,5, FALSE)</f>
        <v>Library with current documents</v>
      </c>
      <c r="E9" s="12">
        <v>5</v>
      </c>
      <c r="F9" s="12"/>
      <c r="G9" s="12" t="str">
        <f ca="1">VLOOKUP($A9&amp;$B$1,'Export 3 Oct'!$B$6:$K$851,6, FALSE)</f>
        <v>https://wikirate.org/~22245854</v>
      </c>
      <c r="H9" s="14"/>
      <c r="I9" s="12"/>
    </row>
    <row r="10" spans="1:9" ht="192">
      <c r="A10" s="13" t="s">
        <v>328</v>
      </c>
      <c r="B10" s="14" t="s">
        <v>1501</v>
      </c>
      <c r="C10" s="14" t="s">
        <v>1519</v>
      </c>
      <c r="D10" s="12" t="str">
        <f ca="1">VLOOKUP($A10&amp;$B$1,'Export 3 Oct'!$B$6:$K$851,5, FALSE)</f>
        <v>No</v>
      </c>
      <c r="E10" s="12">
        <v>0</v>
      </c>
      <c r="F10" s="12"/>
      <c r="G10" s="12" t="str">
        <f ca="1">VLOOKUP($A10&amp;$B$1,'Export 3 Oct'!$B$6:$K$851,6, FALSE)</f>
        <v>https://wikirate.org/~21484315</v>
      </c>
      <c r="H10" s="14" t="str">
        <f ca="1">VLOOKUP($A10&amp;$B$1,'Export 3 Oct'!$B$6:$K$851,10, FALSE)</f>
        <v>"Airbus SE, together with its subsidiaries, is referred to herein as the ‚ÄúCompany‚Äù or ‚ÄúAirbus‚Äù. The Company operates in three segments: Airbus (which includes the Commercial Aircraft business) and the two divisions, Airbus Defence and Space, and Airbus Helicopters. In this report, ‚ÄúAirbus‚Äù may be used to refer to the Company, and in context it may refer specifically to the Airbus segment." Lucia Ixtacuy[https://wikirate.org/Lucia_Ixtacuy].....2025-07-17 11:33:43 UTC p.327 GROUP SIMPLIFIED STRUCTURE CHART Lucia Ixtacuy[https://wikirate.org/Lucia_Ixtacuy].....2025-07-17 11:59:18 UTC</v>
      </c>
      <c r="I10" s="12"/>
    </row>
    <row r="11" spans="1:9" ht="80">
      <c r="A11" s="13" t="s">
        <v>412</v>
      </c>
      <c r="B11" s="14" t="s">
        <v>1502</v>
      </c>
      <c r="C11" s="14" t="s">
        <v>1517</v>
      </c>
      <c r="D11" s="12" t="str">
        <f ca="1">VLOOKUP($A11&amp;$B$1,'Export 3 Oct'!$B$6:$K$851,5, FALSE)</f>
        <v>Yes</v>
      </c>
      <c r="E11" s="12">
        <v>10</v>
      </c>
      <c r="F11" s="12"/>
      <c r="G11" s="12" t="str">
        <f ca="1">VLOOKUP($A11&amp;$B$1,'Export 3 Oct'!$B$6:$K$851,6, FALSE)</f>
        <v>https://wikirate.org/~21484315</v>
      </c>
      <c r="H11" s="14" t="str">
        <f ca="1">VLOOKUP($A11&amp;$B$1,'Export 3 Oct'!$B$6:$K$851,10, FALSE)</f>
        <v>Financial year from 1 January 2024 to 31 December 2024 Page 106. Katharina Linn[https://wikirate.org/Katharina_Linn].....2025-06-05 13:31:58 UTC "This is the Report of the Board of Directors (the ‚ÄúBoard Report ‚Äú) on the activities of Airbus SE during the 2024 financial year, prepared in accordance with Dutch law." p. 17 Lucia Ixtacuy[https://wikirate.org/Lucia_Ixtacuy].....2025-07-17 11:41:49 UTC</v>
      </c>
      <c r="I11" s="12"/>
    </row>
    <row r="12" spans="1:9" ht="32">
      <c r="A12" s="13" t="s">
        <v>987</v>
      </c>
      <c r="B12" s="14" t="s">
        <v>1503</v>
      </c>
      <c r="C12" s="14" t="s">
        <v>1517</v>
      </c>
      <c r="D12" s="12" t="str">
        <f ca="1">VLOOKUP($A12&amp;$B$1,'Export 3 Oct'!$B$6:$K$851,5, FALSE)</f>
        <v>No</v>
      </c>
      <c r="E12" s="12">
        <v>0</v>
      </c>
      <c r="F12" s="12"/>
      <c r="G12" s="12" t="str">
        <f ca="1">VLOOKUP($A12&amp;$B$1,'Export 3 Oct'!$B$6:$K$851,6, FALSE)</f>
        <v>https://wikirate.org/~21476193</v>
      </c>
      <c r="H12" s="14"/>
      <c r="I12" s="12"/>
    </row>
    <row r="13" spans="1:9" ht="208">
      <c r="A13" s="13" t="s">
        <v>1044</v>
      </c>
      <c r="B13" s="14" t="s">
        <v>1504</v>
      </c>
      <c r="C13" s="14" t="s">
        <v>1520</v>
      </c>
      <c r="D13" s="12" t="str">
        <f ca="1">VLOOKUP($A13&amp;$B$1,'Export 3 Oct'!$B$6:$K$851,5, FALSE)</f>
        <v>CSRD (ESRS), Greenhouse Gas Protocol</v>
      </c>
      <c r="E13" s="12">
        <v>10</v>
      </c>
      <c r="F13" s="12"/>
      <c r="G13" s="12" t="str">
        <f ca="1">VLOOKUP($A13&amp;$B$1,'Export 3 Oct'!$B$6:$K$851,6, FALSE)</f>
        <v>https://wikirate.org/~21476193</v>
      </c>
      <c r="H13" s="14" t="str">
        <f ca="1">VLOOKUP($A13&amp;$B$1,'Export 3 Oct'!$B$6:$K$851,10, FALSE)</f>
        <v>P107 - see example ESRS disclosure table P156: "The Company‚Äôs emission calculation methodology was developed by a team consisting of key personnel from the engineering and environment departments to be aligned with the guidance provided by the Greenhouse Gas Protocol." Marc McGowan[https://wikirate.org/Marc_McGowan].....2025-08-18 13:03:08 UTC</v>
      </c>
      <c r="I13" s="12"/>
    </row>
    <row r="14" spans="1:9" ht="128">
      <c r="A14" s="13" t="s">
        <v>495</v>
      </c>
      <c r="B14" s="14" t="s">
        <v>1505</v>
      </c>
      <c r="C14" s="14" t="s">
        <v>1521</v>
      </c>
      <c r="D14" s="12" t="str">
        <f ca="1">VLOOKUP($A14&amp;$B$1,'Export 3 Oct'!$B$6:$K$851,5, FALSE)</f>
        <v>Alongside disclosures (in line or on the same page), Index with page references</v>
      </c>
      <c r="E14" s="12">
        <v>10</v>
      </c>
      <c r="F14" s="12"/>
      <c r="G14" s="12" t="str">
        <f ca="1">VLOOKUP($A14&amp;$B$1,'Export 3 Oct'!$B$6:$K$851,6, FALSE)</f>
        <v>https://wikirate.org/~21484315</v>
      </c>
      <c r="H14" s="14" t="str">
        <f ca="1">VLOOKUP($A14&amp;$B$1,'Export 3 Oct'!$B$6:$K$851,10, FALSE)</f>
        <v>Page 107 ff. Katharina Linn[https://wikirate.org/Katharina_Linn].....2025-06-05 13:34:12 UTC</v>
      </c>
      <c r="I14" s="12"/>
    </row>
    <row r="15" spans="1:9" ht="32">
      <c r="A15" s="13" t="s">
        <v>577</v>
      </c>
      <c r="B15" s="14" t="s">
        <v>1506</v>
      </c>
      <c r="C15" s="14" t="s">
        <v>1517</v>
      </c>
      <c r="D15" s="12" t="str">
        <f ca="1">VLOOKUP($A15&amp;$B$1,'Export 3 Oct'!$B$6:$K$851,5, FALSE)</f>
        <v>No</v>
      </c>
      <c r="E15" s="12">
        <v>0</v>
      </c>
      <c r="F15" s="12"/>
      <c r="G15" s="12" t="str">
        <f ca="1">VLOOKUP($A15&amp;$B$1,'Export 3 Oct'!$B$6:$K$851,6, FALSE)</f>
        <v>https://wikirate.org/~21484315</v>
      </c>
      <c r="H15" s="14"/>
      <c r="I15" s="12"/>
    </row>
    <row r="16" spans="1:9" ht="48">
      <c r="A16" s="13" t="s">
        <v>1143</v>
      </c>
      <c r="B16" s="14" t="s">
        <v>1507</v>
      </c>
      <c r="C16" s="14" t="s">
        <v>1522</v>
      </c>
      <c r="D16" s="12" t="str">
        <f ca="1">VLOOKUP($A16&amp;$B$1,'Export 3 Oct'!$B$6:$K$851,5, FALSE)</f>
        <v>Not specified</v>
      </c>
      <c r="E16" s="12">
        <v>0</v>
      </c>
      <c r="F16" s="12"/>
      <c r="G16" s="12" t="str">
        <f ca="1">VLOOKUP($A16&amp;$B$1,'Export 3 Oct'!$B$6:$K$851,6, FALSE)</f>
        <v>https://wikirate.org/~21476193</v>
      </c>
      <c r="H16" s="14"/>
      <c r="I16" s="12"/>
    </row>
    <row r="17" spans="1:9">
      <c r="A17" s="15" t="s">
        <v>1512</v>
      </c>
      <c r="B17" s="16"/>
      <c r="C17" s="17"/>
      <c r="D17" s="17"/>
      <c r="E17" s="17"/>
      <c r="F17" s="17"/>
      <c r="G17" s="17"/>
      <c r="H17" s="16"/>
      <c r="I17" s="12"/>
    </row>
    <row r="18" spans="1:9" ht="32">
      <c r="A18" s="13" t="s">
        <v>1195</v>
      </c>
      <c r="B18" s="14" t="s">
        <v>1508</v>
      </c>
      <c r="C18" s="12" t="s">
        <v>1523</v>
      </c>
      <c r="D18" s="12" t="str">
        <f ca="1">VLOOKUP($A18&amp;$B$1,'Export 3 Oct'!$B$6:$K$851,5, FALSE)</f>
        <v>Yes</v>
      </c>
      <c r="E18" s="12" t="s">
        <v>1515</v>
      </c>
      <c r="F18" s="12"/>
      <c r="G18" s="12" t="str">
        <f ca="1">VLOOKUP($A18&amp;$B$1,'Export 3 Oct'!$B$6:$K$851,6, FALSE)</f>
        <v>https://wikirate.org/~21476193</v>
      </c>
      <c r="H18" s="14" t="str">
        <f ca="1">VLOOKUP($A18&amp;$B$1,'Export 3 Oct'!$B$6:$K$851,10, FALSE)</f>
        <v>P119- Synthesis of material Impacts, Risks and Opportunities resulting from double materiality assessment Marc McGowan[https://wikirate.org/Marc_McGowan].....2025-08-18 13:05:27 UTC</v>
      </c>
      <c r="I18" s="12"/>
    </row>
    <row r="19" spans="1:9" ht="64">
      <c r="A19" s="13" t="s">
        <v>1280</v>
      </c>
      <c r="B19" s="14" t="s">
        <v>1509</v>
      </c>
      <c r="C19" s="12" t="s">
        <v>1523</v>
      </c>
      <c r="D19" s="12" t="str">
        <f ca="1">VLOOKUP($A19&amp;$B$1,'Export 3 Oct'!$B$6:$K$851,5, FALSE)</f>
        <v>No</v>
      </c>
      <c r="E19" s="12" t="s">
        <v>1515</v>
      </c>
      <c r="F19" s="12"/>
      <c r="G19" s="12" t="str">
        <f ca="1">VLOOKUP($A19&amp;$B$1,'Export 3 Oct'!$B$6:$K$851,6, FALSE)</f>
        <v>https://wikirate.org/~21476193</v>
      </c>
      <c r="H19" s="14" t="str">
        <f ca="1">VLOOKUP($A19&amp;$B$1,'Export 3 Oct'!$B$6:$K$851,10, FALSE)</f>
        <v>Several mentions of lobbying expenses, but not concrete figure is given, e.g. p151 of the PDF "On other subtopics, the Company notably considered the amount of lobbying expenses, the amounts spent to its suppliers, related payment terms, as well as the structure of its supply chain" Lucia Ixtacuy[https://wikirate.org/Lucia_Ixtacuy].....2025-09-15 08:39:04 UTC</v>
      </c>
      <c r="I19" s="12"/>
    </row>
    <row r="20" spans="1:9" ht="176">
      <c r="A20" s="13" t="s">
        <v>814</v>
      </c>
      <c r="B20" s="14" t="s">
        <v>1510</v>
      </c>
      <c r="C20" s="14" t="s">
        <v>1524</v>
      </c>
      <c r="D20" s="12" t="str">
        <f ca="1">VLOOKUP($A20&amp;$B$1,'Export 3 Oct'!$B$6:$K$851,5, FALSE)</f>
        <v>Reasonable assurance</v>
      </c>
      <c r="E20" s="12" t="s">
        <v>1515</v>
      </c>
      <c r="F20" s="12"/>
      <c r="G20" s="12" t="str">
        <f ca="1">VLOOKUP($A20&amp;$B$1,'Export 3 Oct'!$B$6:$K$851,6, FALSE)</f>
        <v>https://wikirate.org/~21476193</v>
      </c>
      <c r="H20" s="14" t="str">
        <f ca="1">VLOOKUP($A20&amp;$B$1,'Export 3 Oct'!$B$6:$K$851,10, FALSE)</f>
        <v>p.328 "In our opinion, the financial statements give a true and fair view of the financial position of Airbus SE as at 31 December 2024 and of its result and its cash flows for 2024 in accordance with International Financial Reporting Standards as adopted in the European Union (EU-IFRSs) and with Part 9 of Book 2 of the Dutch Civil Code." Lucia Ixtacuy[https://wikirate.org/Lucia_Ixtacuy].....2025-07-17 13:22:52 UTC p. 97 "In our opinion, the annual report, prepared in the XHTML format, including the partially marked- up consolidated financial statements, as included in the reporting package by Airbus SE, complies in all material respects with the RTS on ESEF.... The board of directors is responsible for preparing the annual report, including the financial statements, in accordance with the RTS on ESEF, whereby the board of directors combines the various components into a single reporting package.Our responsibility is to obtain reasonable assurance for our opinion whether the annual report in this reporting...</v>
      </c>
      <c r="I20" s="12"/>
    </row>
    <row r="21" spans="1:9" ht="80">
      <c r="A21" s="13" t="s">
        <v>13</v>
      </c>
      <c r="B21" s="14" t="s">
        <v>1511</v>
      </c>
      <c r="C21" s="12" t="s">
        <v>1523</v>
      </c>
      <c r="D21" s="12" t="str">
        <f ca="1">VLOOKUP($A21&amp;$B$1,'Export 3 Oct'!$B$6:$K$851,5, FALSE)</f>
        <v>Yes</v>
      </c>
      <c r="E21" s="12" t="s">
        <v>1515</v>
      </c>
      <c r="F21" s="12"/>
      <c r="G21" s="12" t="str">
        <f ca="1">VLOOKUP($A21&amp;$B$1,'Export 3 Oct'!$B$6:$K$851,6, FALSE)</f>
        <v>https://wikirate.org/~21476193</v>
      </c>
      <c r="H21" s="14" t="str">
        <f ca="1">VLOOKUP($A21&amp;$B$1,'Export 3 Oct'!$B$6:$K$851,10, FALSE)</f>
        <v>P203: " The Company employs stringent quality control processes during production to ensure that all components and systems meet safety standards. This includes regular inspections, testing, also in compliance with international aviation regulation requirements. This involves rigorous supplier audits and certifications." Marc McGowan[https://wikirate.org/Marc_McGowan].....2025-08-18 13:07:48 UTC</v>
      </c>
      <c r="I21" s="12"/>
    </row>
    <row r="26" spans="1:9">
      <c r="A26" s="39" t="s">
        <v>1634</v>
      </c>
    </row>
    <row r="27" spans="1:9">
      <c r="A27" s="38" t="s">
        <v>1630</v>
      </c>
      <c r="B27" s="40">
        <f>AVERAGE($E$5,$E$6,$E$7)</f>
        <v>6.333333333333333</v>
      </c>
    </row>
    <row r="28" spans="1:9">
      <c r="A28" s="38" t="s">
        <v>1631</v>
      </c>
      <c r="B28" s="40">
        <f>AVERAGE($E$8,$E$9)</f>
        <v>7.5</v>
      </c>
    </row>
    <row r="29" spans="1:9">
      <c r="A29" s="38" t="s">
        <v>1632</v>
      </c>
      <c r="B29" s="40">
        <f>AVERAGE($E$10,$E$11,$E$12,$E$13,$E$14)</f>
        <v>6</v>
      </c>
    </row>
    <row r="30" spans="1:9">
      <c r="A30" s="38" t="s">
        <v>1633</v>
      </c>
      <c r="B30" s="40">
        <f>AVERAGE($E$15,$E$16)</f>
        <v>0</v>
      </c>
    </row>
  </sheetData>
  <pageMargins left="0.7" right="0.7" top="0.75" bottom="0.75" header="0.3" footer="0.3"/>
  <pageSetup paperSize="9" orientation="portrait" horizontalDpi="0" verticalDpi="0"/>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4DB64-0DBC-704B-B29F-71F2BBAECD13}">
  <sheetPr codeName="Sheet6"/>
  <dimension ref="A1:I30"/>
  <sheetViews>
    <sheetView workbookViewId="0">
      <selection activeCell="C36" sqref="C36"/>
    </sheetView>
  </sheetViews>
  <sheetFormatPr baseColWidth="10" defaultRowHeight="16"/>
  <cols>
    <col min="1" max="1" width="48.5" style="5" bestFit="1" customWidth="1"/>
    <col min="2" max="2" width="50.33203125" style="4" customWidth="1"/>
    <col min="3" max="3" width="37.33203125" style="5" customWidth="1"/>
    <col min="4" max="4" width="15.33203125" style="4" bestFit="1" customWidth="1"/>
    <col min="5" max="5" width="6" style="5" bestFit="1" customWidth="1"/>
    <col min="6" max="6" width="42" style="5" customWidth="1"/>
    <col min="7" max="7" width="24.5" style="5" bestFit="1" customWidth="1"/>
    <col min="8" max="8" width="76.1640625" style="4" customWidth="1"/>
    <col min="9" max="16384" width="10.83203125" style="5"/>
  </cols>
  <sheetData>
    <row r="1" spans="1:9" ht="23">
      <c r="A1" s="6" t="s">
        <v>1486</v>
      </c>
      <c r="B1" s="7" t="str" cm="1">
        <f t="array" aca="1" ref="B1" ca="1">_xlfn.TEXTAFTER(CELL("filename",A1),"]")</f>
        <v>Amprion GmbH</v>
      </c>
    </row>
    <row r="2" spans="1:9" ht="23">
      <c r="A2" s="8" t="s">
        <v>1487</v>
      </c>
      <c r="B2" s="18">
        <f>SUM(E5:E16)/12</f>
        <v>2.4166666666666665</v>
      </c>
    </row>
    <row r="4" spans="1:9">
      <c r="A4" s="9" t="s">
        <v>1488</v>
      </c>
      <c r="B4" s="10" t="s">
        <v>1489</v>
      </c>
      <c r="C4" s="9" t="s">
        <v>1494</v>
      </c>
      <c r="D4" s="10" t="s">
        <v>1490</v>
      </c>
      <c r="E4" s="9" t="s">
        <v>1491</v>
      </c>
      <c r="F4" s="11" t="s">
        <v>1514</v>
      </c>
      <c r="G4" s="9" t="s">
        <v>1493</v>
      </c>
      <c r="H4" s="10" t="s">
        <v>1492</v>
      </c>
      <c r="I4" s="12"/>
    </row>
    <row r="5" spans="1:9" ht="64">
      <c r="A5" s="13" t="s">
        <v>91</v>
      </c>
      <c r="B5" s="14" t="s">
        <v>1496</v>
      </c>
      <c r="C5" s="14" t="s">
        <v>1516</v>
      </c>
      <c r="D5" s="14" t="str">
        <f ca="1">VLOOKUP($A5&amp;$B$1,'Export 3 Oct'!$B$6:$K$851,5, FALSE)</f>
        <v>Own website</v>
      </c>
      <c r="E5" s="12">
        <v>5</v>
      </c>
      <c r="F5" s="12"/>
      <c r="G5" s="12" t="str">
        <f ca="1">VLOOKUP($A5&amp;$B$1,'Export 3 Oct'!$B$6:$K$851,6, FALSE)</f>
        <v>https://wikirate.org/~22218968</v>
      </c>
      <c r="H5" s="14" t="str">
        <f ca="1">VLOOKUP($A5&amp;$B$1,'Export 3 Oct'!$B$6:$K$851,10, FALSE)</f>
        <v>https://www.hella.com/en/Investor-Relations/Publications-266/?presstype=ar Yohann[https://wikirate.org/Yohann].....2025-08-14 11:22:49 UTC https://www.amprion.net/Amprion/Sustainability/Downloads/. Link before is for another company Yohann[https://wikirate.org/Yohann].....2025-08-14 19:21:59 UTC</v>
      </c>
      <c r="I5" s="12"/>
    </row>
    <row r="6" spans="1:9" ht="112">
      <c r="A6" s="13" t="s">
        <v>242</v>
      </c>
      <c r="B6" s="14" t="s">
        <v>1497</v>
      </c>
      <c r="C6" s="14" t="s">
        <v>1525</v>
      </c>
      <c r="D6" s="14" t="str">
        <f ca="1">VLOOKUP($A6&amp;$B$1,'Export 3 Oct'!$B$6:$K$851,5, FALSE)</f>
        <v>PDF (text based)</v>
      </c>
      <c r="E6" s="12">
        <v>4</v>
      </c>
      <c r="F6" s="12"/>
      <c r="G6" s="12" t="str">
        <f ca="1">VLOOKUP($A6&amp;$B$1,'Export 3 Oct'!$B$6:$K$851,6, FALSE)</f>
        <v>https://wikirate.org/~22218968</v>
      </c>
      <c r="H6" s="14"/>
      <c r="I6" s="12"/>
    </row>
    <row r="7" spans="1:9" ht="32">
      <c r="A7" s="13" t="s">
        <v>901</v>
      </c>
      <c r="B7" s="14" t="s">
        <v>1498</v>
      </c>
      <c r="C7" s="14" t="s">
        <v>1517</v>
      </c>
      <c r="D7" s="14" t="str">
        <f ca="1">VLOOKUP($A7&amp;$B$1,'Export 3 Oct'!$B$6:$K$851,5, FALSE)</f>
        <v>Yes</v>
      </c>
      <c r="E7" s="12">
        <v>10</v>
      </c>
      <c r="F7" s="12"/>
      <c r="G7" s="12" t="str">
        <f ca="1">VLOOKUP($A7&amp;$B$1,'Export 3 Oct'!$B$6:$K$851,6, FALSE)</f>
        <v>https://wikirate.org/~22218968</v>
      </c>
      <c r="H7" s="14" t="str">
        <f ca="1">VLOOKUP($A7&amp;$B$1,'Export 3 Oct'!$B$6:$K$851,10, FALSE)</f>
        <v>https://www.amprion.net/Amprion/Sustainability/Downloads/ Yohann[https://wikirate.org/Yohann].....2025-08-14 19:23:51 UTC</v>
      </c>
      <c r="I7" s="12"/>
    </row>
    <row r="8" spans="1:9" ht="32">
      <c r="A8" s="13" t="s">
        <v>629</v>
      </c>
      <c r="B8" s="14" t="s">
        <v>1499</v>
      </c>
      <c r="C8" s="14" t="s">
        <v>1517</v>
      </c>
      <c r="D8" s="14" t="str">
        <f ca="1">VLOOKUP($A8&amp;$B$1,'Export 3 Oct'!$B$6:$K$851,5, FALSE)</f>
        <v>Yes</v>
      </c>
      <c r="E8" s="12">
        <v>10</v>
      </c>
      <c r="F8" s="12"/>
      <c r="G8" s="12" t="str">
        <f ca="1">VLOOKUP($A8&amp;$B$1,'Export 3 Oct'!$B$6:$K$851,6, FALSE)</f>
        <v>https://wikirate.org/~21496690</v>
      </c>
      <c r="H8" s="14" t="str">
        <f ca="1">VLOOKUP($A8&amp;$B$1,'Export 3 Oct'!$B$6:$K$851,10, FALSE)</f>
        <v>ex p. 5 Yohann[https://wikirate.org/Yohann].....2025-08-14 19:26:10 UTC</v>
      </c>
      <c r="I8" s="12"/>
    </row>
    <row r="9" spans="1:9" ht="64">
      <c r="A9" s="13" t="s">
        <v>701</v>
      </c>
      <c r="B9" s="14" t="s">
        <v>1500</v>
      </c>
      <c r="C9" s="14" t="s">
        <v>1518</v>
      </c>
      <c r="D9" s="14" t="str">
        <f ca="1">VLOOKUP($A9&amp;$B$1,'Export 3 Oct'!$B$6:$K$851,5, FALSE)</f>
        <v>No</v>
      </c>
      <c r="E9" s="12">
        <v>0</v>
      </c>
      <c r="F9" s="12"/>
      <c r="G9" s="12" t="str">
        <f ca="1">VLOOKUP($A9&amp;$B$1,'Export 3 Oct'!$B$6:$K$851,6, FALSE)</f>
        <v>https://wikirate.org/~22218968</v>
      </c>
      <c r="H9" s="14" t="str">
        <f ca="1">VLOOKUP($A9&amp;$B$1,'Export 3 Oct'!$B$6:$K$851,10, FALSE)</f>
        <v>https://www.amprion.net/Amprion/Sustainability/Downloads/ Could not find any archive with documents such as code of conduct on their website. Yohann[https://wikirate.org/Yohann].....2025-08-14 19:29:44 UTC</v>
      </c>
      <c r="I9" s="12"/>
    </row>
    <row r="10" spans="1:9" ht="192">
      <c r="A10" s="13" t="s">
        <v>328</v>
      </c>
      <c r="B10" s="14" t="s">
        <v>1501</v>
      </c>
      <c r="C10" s="14" t="s">
        <v>1519</v>
      </c>
      <c r="D10" s="14" t="str">
        <f ca="1">VLOOKUP($A10&amp;$B$1,'Export 3 Oct'!$B$6:$K$851,5, FALSE)</f>
        <v>No</v>
      </c>
      <c r="E10" s="12">
        <v>0</v>
      </c>
      <c r="F10" s="12"/>
      <c r="G10" s="12" t="str">
        <f ca="1">VLOOKUP($A10&amp;$B$1,'Export 3 Oct'!$B$6:$K$851,6, FALSE)</f>
        <v>https://wikirate.org/~21496690</v>
      </c>
      <c r="H10" s="14"/>
      <c r="I10" s="12"/>
    </row>
    <row r="11" spans="1:9" ht="48">
      <c r="A11" s="13" t="s">
        <v>412</v>
      </c>
      <c r="B11" s="14" t="s">
        <v>1502</v>
      </c>
      <c r="C11" s="14" t="s">
        <v>1517</v>
      </c>
      <c r="D11" s="14" t="str">
        <f ca="1">VLOOKUP($A11&amp;$B$1,'Export 3 Oct'!$B$6:$K$851,5, FALSE)</f>
        <v>No</v>
      </c>
      <c r="E11" s="12">
        <v>0</v>
      </c>
      <c r="F11" s="12"/>
      <c r="G11" s="12" t="str">
        <f ca="1">VLOOKUP($A11&amp;$B$1,'Export 3 Oct'!$B$6:$K$851,6, FALSE)</f>
        <v>https://wikirate.org/~21496690</v>
      </c>
      <c r="H11" s="14" t="str">
        <f ca="1">VLOOKUP($A11&amp;$B$1,'Export 3 Oct'!$B$6:$K$851,10, FALSE)</f>
        <v>There is not specific timeframe mentioned, but we understand that the report goes from January to December, as on page one it gives information for January and on page two they mention "as of 31 December 2024." Yohann[https://wikirate.org/Yohann].....2025-08-14 19:35:13 UTC</v>
      </c>
      <c r="I11" s="12"/>
    </row>
    <row r="12" spans="1:9" ht="32">
      <c r="A12" s="13" t="s">
        <v>987</v>
      </c>
      <c r="B12" s="14" t="s">
        <v>1503</v>
      </c>
      <c r="C12" s="14" t="s">
        <v>1517</v>
      </c>
      <c r="D12" s="14" t="str">
        <f ca="1">VLOOKUP($A12&amp;$B$1,'Export 3 Oct'!$B$6:$K$851,5, FALSE)</f>
        <v>No</v>
      </c>
      <c r="E12" s="12">
        <v>0</v>
      </c>
      <c r="F12" s="12"/>
      <c r="G12" s="12" t="str">
        <f ca="1">VLOOKUP($A12&amp;$B$1,'Export 3 Oct'!$B$6:$K$851,6, FALSE)</f>
        <v>https://wikirate.org/~21496690</v>
      </c>
      <c r="H12" s="14"/>
      <c r="I12" s="12"/>
    </row>
    <row r="13" spans="1:9" ht="208">
      <c r="A13" s="13" t="s">
        <v>1044</v>
      </c>
      <c r="B13" s="14" t="s">
        <v>1504</v>
      </c>
      <c r="C13" s="14" t="s">
        <v>1520</v>
      </c>
      <c r="D13" s="14" t="str">
        <f ca="1">VLOOKUP($A13&amp;$B$1,'Export 3 Oct'!$B$6:$K$851,5, FALSE)</f>
        <v>None</v>
      </c>
      <c r="E13" s="12">
        <v>0</v>
      </c>
      <c r="F13" s="12"/>
      <c r="G13" s="12" t="str">
        <f ca="1">VLOOKUP($A13&amp;$B$1,'Export 3 Oct'!$B$6:$K$851,6, FALSE)</f>
        <v>https://wikirate.org/~21496690</v>
      </c>
      <c r="H13" s="14"/>
      <c r="I13" s="12"/>
    </row>
    <row r="14" spans="1:9" ht="128">
      <c r="A14" s="13" t="s">
        <v>495</v>
      </c>
      <c r="B14" s="14" t="s">
        <v>1505</v>
      </c>
      <c r="C14" s="14" t="s">
        <v>1521</v>
      </c>
      <c r="D14" s="14" t="str">
        <f ca="1">VLOOKUP($A14&amp;$B$1,'Export 3 Oct'!$B$6:$K$851,5, FALSE)</f>
        <v>No</v>
      </c>
      <c r="E14" s="12">
        <v>0</v>
      </c>
      <c r="F14" s="12"/>
      <c r="G14" s="12" t="str">
        <f ca="1">VLOOKUP($A14&amp;$B$1,'Export 3 Oct'!$B$6:$K$851,6, FALSE)</f>
        <v>https://wikirate.org/~21496690</v>
      </c>
      <c r="H14" s="14"/>
      <c r="I14" s="12"/>
    </row>
    <row r="15" spans="1:9" ht="32">
      <c r="A15" s="13" t="s">
        <v>577</v>
      </c>
      <c r="B15" s="14" t="s">
        <v>1506</v>
      </c>
      <c r="C15" s="14" t="s">
        <v>1517</v>
      </c>
      <c r="D15" s="14" t="str">
        <f ca="1">VLOOKUP($A15&amp;$B$1,'Export 3 Oct'!$B$6:$K$851,5, FALSE)</f>
        <v>No</v>
      </c>
      <c r="E15" s="12">
        <v>0</v>
      </c>
      <c r="F15" s="12"/>
      <c r="G15" s="12" t="str">
        <f ca="1">VLOOKUP($A15&amp;$B$1,'Export 3 Oct'!$B$6:$K$851,6, FALSE)</f>
        <v>https://wikirate.org/~21496690</v>
      </c>
      <c r="H15" s="14"/>
      <c r="I15" s="12"/>
    </row>
    <row r="16" spans="1:9" ht="48">
      <c r="A16" s="13" t="s">
        <v>1143</v>
      </c>
      <c r="B16" s="14" t="s">
        <v>1507</v>
      </c>
      <c r="C16" s="14" t="s">
        <v>1522</v>
      </c>
      <c r="D16" s="14" t="str">
        <f ca="1">VLOOKUP($A16&amp;$B$1,'Export 3 Oct'!$B$6:$K$851,5, FALSE)</f>
        <v>Not specified</v>
      </c>
      <c r="E16" s="12">
        <v>0</v>
      </c>
      <c r="F16" s="12"/>
      <c r="G16" s="12" t="str">
        <f ca="1">VLOOKUP($A16&amp;$B$1,'Export 3 Oct'!$B$6:$K$851,6, FALSE)</f>
        <v>https://wikirate.org/~21496690</v>
      </c>
      <c r="H16" s="14"/>
      <c r="I16" s="12"/>
    </row>
    <row r="17" spans="1:9">
      <c r="A17" s="15" t="s">
        <v>1512</v>
      </c>
      <c r="B17" s="16"/>
      <c r="C17" s="17"/>
      <c r="D17" s="16"/>
      <c r="E17" s="17"/>
      <c r="F17" s="17"/>
      <c r="G17" s="17"/>
      <c r="H17" s="16"/>
      <c r="I17" s="12"/>
    </row>
    <row r="18" spans="1:9" ht="32">
      <c r="A18" s="13" t="s">
        <v>1195</v>
      </c>
      <c r="B18" s="14" t="s">
        <v>1508</v>
      </c>
      <c r="C18" s="12" t="s">
        <v>1523</v>
      </c>
      <c r="D18" s="14" t="str">
        <f ca="1">VLOOKUP($A18&amp;$B$1,'Export 3 Oct'!$B$6:$K$851,5, FALSE)</f>
        <v>No</v>
      </c>
      <c r="E18" s="12" t="s">
        <v>1515</v>
      </c>
      <c r="F18" s="12"/>
      <c r="G18" s="12" t="str">
        <f ca="1">VLOOKUP($A18&amp;$B$1,'Export 3 Oct'!$B$6:$K$851,6, FALSE)</f>
        <v>https://wikirate.org/~21496690</v>
      </c>
      <c r="H18" s="14"/>
      <c r="I18" s="12"/>
    </row>
    <row r="19" spans="1:9" ht="32">
      <c r="A19" s="13" t="s">
        <v>1280</v>
      </c>
      <c r="B19" s="14" t="s">
        <v>1509</v>
      </c>
      <c r="C19" s="12" t="s">
        <v>1523</v>
      </c>
      <c r="D19" s="14" t="str">
        <f ca="1">VLOOKUP($A19&amp;$B$1,'Export 3 Oct'!$B$6:$K$851,5, FALSE)</f>
        <v>No</v>
      </c>
      <c r="E19" s="12" t="s">
        <v>1515</v>
      </c>
      <c r="F19" s="12"/>
      <c r="G19" s="12" t="str">
        <f ca="1">VLOOKUP($A19&amp;$B$1,'Export 3 Oct'!$B$6:$K$851,6, FALSE)</f>
        <v>https://wikirate.org/~21496690</v>
      </c>
      <c r="H19" s="14" t="str">
        <f ca="1">VLOOKUP($A19&amp;$B$1,'Export 3 Oct'!$B$6:$K$851,10, FALSE)</f>
        <v>P. 5 "Furthermore, Amprion does not make donations to any political parties." Lucia Ixtacuy[https://wikirate.org/Lucia_Ixtacuy].....2025-08-19 13:23:19 UTC</v>
      </c>
      <c r="I19" s="12"/>
    </row>
    <row r="20" spans="1:9" ht="48">
      <c r="A20" s="13" t="s">
        <v>814</v>
      </c>
      <c r="B20" s="14" t="s">
        <v>1510</v>
      </c>
      <c r="C20" s="14" t="s">
        <v>1524</v>
      </c>
      <c r="D20" s="14" t="str">
        <f ca="1">VLOOKUP($A20&amp;$B$1,'Export 3 Oct'!$B$6:$K$851,5, FALSE)</f>
        <v>No assurance given</v>
      </c>
      <c r="E20" s="12" t="s">
        <v>1515</v>
      </c>
      <c r="F20" s="12"/>
      <c r="G20" s="12" t="str">
        <f ca="1">VLOOKUP($A20&amp;$B$1,'Export 3 Oct'!$B$6:$K$851,6, FALSE)</f>
        <v>https://wikirate.org/~21496690</v>
      </c>
      <c r="H20" s="14"/>
      <c r="I20" s="12"/>
    </row>
    <row r="21" spans="1:9">
      <c r="A21" s="13" t="s">
        <v>13</v>
      </c>
      <c r="B21" s="14" t="s">
        <v>1511</v>
      </c>
      <c r="C21" s="12" t="s">
        <v>1523</v>
      </c>
      <c r="D21" s="14" t="str">
        <f ca="1">VLOOKUP($A21&amp;$B$1,'Export 3 Oct'!$B$6:$K$851,5, FALSE)</f>
        <v>No</v>
      </c>
      <c r="E21" s="12" t="s">
        <v>1515</v>
      </c>
      <c r="F21" s="12"/>
      <c r="G21" s="12" t="str">
        <f ca="1">VLOOKUP($A21&amp;$B$1,'Export 3 Oct'!$B$6:$K$851,6, FALSE)</f>
        <v>https://wikirate.org/~21496690</v>
      </c>
      <c r="H21" s="14"/>
      <c r="I21" s="12"/>
    </row>
    <row r="26" spans="1:9">
      <c r="A26" s="39" t="s">
        <v>1634</v>
      </c>
    </row>
    <row r="27" spans="1:9">
      <c r="A27" s="38" t="s">
        <v>1630</v>
      </c>
      <c r="B27" s="40">
        <f>AVERAGE($E$5,$E$6,$E$7)</f>
        <v>6.333333333333333</v>
      </c>
    </row>
    <row r="28" spans="1:9">
      <c r="A28" s="38" t="s">
        <v>1631</v>
      </c>
      <c r="B28" s="40">
        <f>AVERAGE($E$8,$E$9)</f>
        <v>5</v>
      </c>
    </row>
    <row r="29" spans="1:9">
      <c r="A29" s="38" t="s">
        <v>1632</v>
      </c>
      <c r="B29" s="40">
        <f>AVERAGE($E$10,$E$11,$E$12,$E$13,$E$14)</f>
        <v>0</v>
      </c>
    </row>
    <row r="30" spans="1:9">
      <c r="A30" s="38" t="s">
        <v>1633</v>
      </c>
      <c r="B30" s="40">
        <f>AVERAGE($E$15,$E$16)</f>
        <v>0</v>
      </c>
    </row>
  </sheetData>
  <pageMargins left="0.7" right="0.7" top="0.75" bottom="0.75" header="0.3" footer="0.3"/>
  <pageSetup paperSize="9"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57</vt:i4>
      </vt:variant>
    </vt:vector>
  </HeadingPairs>
  <TitlesOfParts>
    <vt:vector size="57" baseType="lpstr">
      <vt:lpstr>Export 3 Oct</vt:lpstr>
      <vt:lpstr>Total &amp; sector scores</vt:lpstr>
      <vt:lpstr>Sectors</vt:lpstr>
      <vt:lpstr>Metrics</vt:lpstr>
      <vt:lpstr>Total &amp; thematic scores</vt:lpstr>
      <vt:lpstr>Detailed analysis</vt:lpstr>
      <vt:lpstr>50Hertz Transmission</vt:lpstr>
      <vt:lpstr>Airbus Group</vt:lpstr>
      <vt:lpstr>Amprion GmbH</vt:lpstr>
      <vt:lpstr>BASF SE</vt:lpstr>
      <vt:lpstr>Bayer AG</vt:lpstr>
      <vt:lpstr>BMW AG</vt:lpstr>
      <vt:lpstr>Boehringer Ingelheim GmbH</vt:lpstr>
      <vt:lpstr>Continental AG</vt:lpstr>
      <vt:lpstr>Covestro</vt:lpstr>
      <vt:lpstr>D√ºrr Group</vt:lpstr>
      <vt:lpstr>Daimler Truck AG</vt:lpstr>
      <vt:lpstr>Deere &amp; Co</vt:lpstr>
      <vt:lpstr>Diehl Stiftung &amp; Co. KG</vt:lpstr>
      <vt:lpstr>E.ON SE</vt:lpstr>
      <vt:lpstr>EnBW-Energie Baden-Wuerttemberg</vt:lpstr>
      <vt:lpstr>Enercon GmbH</vt:lpstr>
      <vt:lpstr>Evonik</vt:lpstr>
      <vt:lpstr>GEA Group</vt:lpstr>
      <vt:lpstr>Gelsenwasser</vt:lpstr>
      <vt:lpstr>Heckler &amp; Koch AG</vt:lpstr>
      <vt:lpstr>HELLA GMBH &amp; CO. KGAA</vt:lpstr>
      <vt:lpstr>Helm AG</vt:lpstr>
      <vt:lpstr>Henkel AG &amp; Co. KGaA</vt:lpstr>
      <vt:lpstr>Hensoldt AG</vt:lpstr>
      <vt:lpstr>Jenoptik AG</vt:lpstr>
      <vt:lpstr>Jungheinrich AG</vt:lpstr>
      <vt:lpstr>KION Group</vt:lpstr>
      <vt:lpstr>KNDS Group</vt:lpstr>
      <vt:lpstr>Krones AG</vt:lpstr>
      <vt:lpstr>Lanxess</vt:lpstr>
      <vt:lpstr>Leonardo</vt:lpstr>
      <vt:lpstr>Lockheed Martin</vt:lpstr>
      <vt:lpstr>Mahle GmbH</vt:lpstr>
      <vt:lpstr>Mercedes-Benz AG</vt:lpstr>
      <vt:lpstr>Merck KGaA</vt:lpstr>
      <vt:lpstr>Rheinmetall AG</vt:lpstr>
      <vt:lpstr>Robert Bosch GmbH</vt:lpstr>
      <vt:lpstr>RTX Corporation</vt:lpstr>
      <vt:lpstr>RWE Group</vt:lpstr>
      <vt:lpstr>Schaeffler Technologies</vt:lpstr>
      <vt:lpstr>Siemens AG</vt:lpstr>
      <vt:lpstr>Siemens Energy AG</vt:lpstr>
      <vt:lpstr>Stadtwerke Munchen GmbH</vt:lpstr>
      <vt:lpstr>Th√ºga Holding</vt:lpstr>
      <vt:lpstr>ThyssenKrupp Group</vt:lpstr>
      <vt:lpstr>Uniper SE</vt:lpstr>
      <vt:lpstr>Voith</vt:lpstr>
      <vt:lpstr>Volkswagen AG</vt:lpstr>
      <vt:lpstr>Wacker Chemie</vt:lpstr>
      <vt:lpstr>ZF Friedrichshafen</vt:lpstr>
      <vt:lpstr>download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Laureen van Breen</dc:creator>
  <cp:lastModifiedBy>Laureen van Breen</cp:lastModifiedBy>
  <cp:lastPrinted>2025-09-22T12:28:38Z</cp:lastPrinted>
  <dcterms:created xsi:type="dcterms:W3CDTF">2025-09-19T07:21:54Z</dcterms:created>
  <dcterms:modified xsi:type="dcterms:W3CDTF">2025-10-07T07:44:05Z</dcterms:modified>
</cp:coreProperties>
</file>